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featurePropertyBag/featurePropertyBag.xml" ContentType="application/vnd.ms-excel.featurepropertybag+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hidePivotFieldList="1"/>
  <mc:AlternateContent xmlns:mc="http://schemas.openxmlformats.org/markup-compatibility/2006">
    <mc:Choice Requires="x15">
      <x15ac:absPath xmlns:x15ac="http://schemas.microsoft.com/office/spreadsheetml/2010/11/ac" url="/Users/connienew/Library/Mobile Documents/com~apple~CloudDocs/Desktop/Security docs/"/>
    </mc:Choice>
  </mc:AlternateContent>
  <xr:revisionPtr revIDLastSave="0" documentId="8_{BB7ECC8F-9486-0844-AC6A-4BED50322116}" xr6:coauthVersionLast="36" xr6:coauthVersionMax="36" xr10:uidLastSave="{00000000-0000-0000-0000-000000000000}"/>
  <bookViews>
    <workbookView xWindow="0" yWindow="660" windowWidth="34560" windowHeight="20500" tabRatio="815"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12" hidden="1">Questions!$A$2:$X$334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21" l="1"/>
  <c r="D84" i="25"/>
  <c r="D85" i="25"/>
  <c r="C15" i="8" l="1"/>
  <c r="B49" i="10"/>
  <c r="B60" i="9"/>
  <c r="E87" i="14" l="1"/>
  <c r="E86" i="14"/>
  <c r="E85" i="14"/>
  <c r="E84" i="14"/>
  <c r="E83" i="14"/>
  <c r="E82" i="14"/>
  <c r="E81" i="14"/>
  <c r="E80" i="14"/>
  <c r="E79" i="14"/>
  <c r="E78" i="14"/>
  <c r="E77" i="14"/>
  <c r="E76" i="14"/>
  <c r="E72" i="14"/>
  <c r="E61" i="14"/>
  <c r="E35" i="14"/>
  <c r="E67" i="8"/>
  <c r="E38" i="8"/>
  <c r="E37" i="8"/>
  <c r="G287" i="22"/>
  <c r="I287" i="22"/>
  <c r="A71" i="8" l="1"/>
  <c r="D372" i="16"/>
  <c r="C372" i="16"/>
  <c r="D371" i="16"/>
  <c r="C371" i="16"/>
  <c r="D370" i="16"/>
  <c r="C370" i="16"/>
  <c r="D369" i="16"/>
  <c r="C369" i="16"/>
  <c r="D368" i="16"/>
  <c r="C368" i="16"/>
  <c r="D367" i="16"/>
  <c r="C367" i="16"/>
  <c r="D365" i="16"/>
  <c r="C365" i="16"/>
  <c r="D364" i="16"/>
  <c r="C364" i="16"/>
  <c r="D363" i="16"/>
  <c r="C363" i="16"/>
  <c r="D362" i="16"/>
  <c r="C362" i="16"/>
  <c r="D361" i="16"/>
  <c r="C361" i="16"/>
  <c r="D360" i="16"/>
  <c r="C360" i="16"/>
  <c r="D359" i="16"/>
  <c r="C359" i="16"/>
  <c r="D358" i="16"/>
  <c r="C358" i="16"/>
  <c r="D356" i="16"/>
  <c r="C356" i="16"/>
  <c r="D355" i="16"/>
  <c r="C355" i="16"/>
  <c r="D354" i="16"/>
  <c r="C354" i="16"/>
  <c r="D353" i="16"/>
  <c r="C353" i="16"/>
  <c r="D352" i="16"/>
  <c r="C352" i="16"/>
  <c r="D350" i="16"/>
  <c r="C350" i="16"/>
  <c r="D349" i="16"/>
  <c r="C349" i="16"/>
  <c r="D348" i="16"/>
  <c r="C348" i="16"/>
  <c r="D347" i="16"/>
  <c r="C347" i="16"/>
  <c r="D346" i="16"/>
  <c r="C346" i="16"/>
  <c r="D344" i="16"/>
  <c r="C344" i="16"/>
  <c r="D343" i="16"/>
  <c r="C343" i="16"/>
  <c r="D342" i="16"/>
  <c r="C342" i="16"/>
  <c r="D341" i="16"/>
  <c r="C341" i="16"/>
  <c r="D340" i="16"/>
  <c r="C340" i="16"/>
  <c r="D338" i="16"/>
  <c r="C338" i="16"/>
  <c r="D337" i="16"/>
  <c r="C337" i="16"/>
  <c r="C328" i="16"/>
  <c r="D328" i="16"/>
  <c r="C329" i="16"/>
  <c r="D329" i="16"/>
  <c r="C330" i="16"/>
  <c r="D330" i="16"/>
  <c r="C331" i="16"/>
  <c r="D331" i="16"/>
  <c r="C332" i="16"/>
  <c r="D332" i="16"/>
  <c r="C333" i="16"/>
  <c r="D333" i="16"/>
  <c r="C334" i="16"/>
  <c r="D334" i="16"/>
  <c r="C335" i="16"/>
  <c r="D335" i="16"/>
  <c r="D326" i="16"/>
  <c r="C326" i="16"/>
  <c r="D325" i="16"/>
  <c r="C325" i="16"/>
  <c r="D324" i="16"/>
  <c r="C324" i="16"/>
  <c r="D323" i="16"/>
  <c r="C323" i="16"/>
  <c r="D322" i="16"/>
  <c r="C322" i="16"/>
  <c r="D321" i="16"/>
  <c r="C321" i="16"/>
  <c r="D320" i="16"/>
  <c r="C320" i="16"/>
  <c r="D319" i="16"/>
  <c r="C319" i="16"/>
  <c r="D318" i="16"/>
  <c r="C318" i="16"/>
  <c r="D317" i="16"/>
  <c r="C317" i="16"/>
  <c r="D316" i="16"/>
  <c r="C316" i="16"/>
  <c r="D315" i="16"/>
  <c r="C315" i="16"/>
  <c r="D314" i="16"/>
  <c r="C314" i="16"/>
  <c r="D313" i="16"/>
  <c r="C313" i="16"/>
  <c r="D312" i="16"/>
  <c r="C312" i="16"/>
  <c r="D310" i="16"/>
  <c r="C310" i="16"/>
  <c r="D309" i="16"/>
  <c r="C309" i="16"/>
  <c r="D308" i="16"/>
  <c r="C308" i="16"/>
  <c r="D307" i="16"/>
  <c r="C307" i="16"/>
  <c r="D306" i="16"/>
  <c r="C306" i="16"/>
  <c r="D304" i="16"/>
  <c r="C304" i="16"/>
  <c r="D303" i="16"/>
  <c r="C303" i="16"/>
  <c r="D302" i="16"/>
  <c r="C302" i="16"/>
  <c r="D301" i="16"/>
  <c r="C301" i="16"/>
  <c r="D300" i="16"/>
  <c r="C300" i="16"/>
  <c r="D299" i="16"/>
  <c r="C299" i="16"/>
  <c r="D298" i="16"/>
  <c r="C298" i="16"/>
  <c r="D297" i="16"/>
  <c r="C297" i="16"/>
  <c r="D296" i="16"/>
  <c r="C296" i="16"/>
  <c r="D295" i="16"/>
  <c r="C295" i="16"/>
  <c r="D294" i="16"/>
  <c r="C294" i="16"/>
  <c r="D293" i="16"/>
  <c r="C293" i="16"/>
  <c r="D292" i="16"/>
  <c r="C292" i="16"/>
  <c r="D290" i="16"/>
  <c r="C290" i="16"/>
  <c r="D289" i="16"/>
  <c r="C289" i="16"/>
  <c r="D288" i="16"/>
  <c r="C288" i="16"/>
  <c r="D287" i="16"/>
  <c r="C287" i="16"/>
  <c r="D286" i="16"/>
  <c r="C286" i="16"/>
  <c r="D285" i="16"/>
  <c r="C285" i="16"/>
  <c r="D284" i="16"/>
  <c r="C284" i="16"/>
  <c r="D283" i="16"/>
  <c r="C283" i="16"/>
  <c r="D281" i="16"/>
  <c r="C281" i="16"/>
  <c r="D280" i="16"/>
  <c r="C280" i="16"/>
  <c r="D278" i="16"/>
  <c r="C278" i="16"/>
  <c r="D277" i="16"/>
  <c r="C277" i="16"/>
  <c r="D275" i="16"/>
  <c r="C275" i="16"/>
  <c r="D274" i="16"/>
  <c r="C274" i="16"/>
  <c r="D273" i="16"/>
  <c r="C273" i="16"/>
  <c r="D271" i="16"/>
  <c r="C271" i="16"/>
  <c r="D270" i="16"/>
  <c r="C270" i="16"/>
  <c r="D269" i="16"/>
  <c r="C269" i="16"/>
  <c r="D268" i="16"/>
  <c r="C268" i="16"/>
  <c r="D266" i="16"/>
  <c r="C266" i="16"/>
  <c r="D265" i="16"/>
  <c r="C265" i="16"/>
  <c r="D264" i="16"/>
  <c r="C264" i="16"/>
  <c r="D263" i="16"/>
  <c r="C263" i="16"/>
  <c r="D262" i="16"/>
  <c r="C262" i="16"/>
  <c r="D260" i="16"/>
  <c r="C260" i="16"/>
  <c r="D259" i="16"/>
  <c r="C259" i="16"/>
  <c r="D258" i="16"/>
  <c r="C258" i="16"/>
  <c r="D257" i="16"/>
  <c r="C257" i="16"/>
  <c r="D256" i="16"/>
  <c r="C256" i="16"/>
  <c r="D255" i="16"/>
  <c r="C255" i="16"/>
  <c r="D254" i="16"/>
  <c r="C254" i="16"/>
  <c r="D253" i="16"/>
  <c r="C253" i="16"/>
  <c r="D252" i="16"/>
  <c r="C252" i="16"/>
  <c r="D251" i="16"/>
  <c r="C251" i="16"/>
  <c r="D249" i="16"/>
  <c r="C249" i="16"/>
  <c r="D248" i="16"/>
  <c r="C248" i="16"/>
  <c r="D247" i="16"/>
  <c r="C247" i="16"/>
  <c r="D246" i="16"/>
  <c r="C246" i="16"/>
  <c r="D245" i="16"/>
  <c r="C245" i="16"/>
  <c r="D244" i="16"/>
  <c r="C244" i="16"/>
  <c r="D243" i="16"/>
  <c r="C243" i="16"/>
  <c r="D242" i="16"/>
  <c r="C242" i="16"/>
  <c r="D241" i="16"/>
  <c r="C241" i="16"/>
  <c r="D240" i="16"/>
  <c r="C240" i="16"/>
  <c r="D239" i="16"/>
  <c r="C239" i="16"/>
  <c r="D238" i="16"/>
  <c r="C238" i="16"/>
  <c r="D236" i="16"/>
  <c r="C236" i="16"/>
  <c r="D235" i="16"/>
  <c r="C235" i="16"/>
  <c r="D234" i="16"/>
  <c r="C234" i="16"/>
  <c r="D233" i="16"/>
  <c r="C233" i="16"/>
  <c r="D232" i="16"/>
  <c r="C232" i="16"/>
  <c r="D231" i="16"/>
  <c r="C231" i="16"/>
  <c r="D230" i="16"/>
  <c r="C230" i="16"/>
  <c r="D229" i="16"/>
  <c r="C229" i="16"/>
  <c r="D228" i="16"/>
  <c r="C228" i="16"/>
  <c r="D227" i="16"/>
  <c r="C227" i="16"/>
  <c r="D226" i="16"/>
  <c r="C226" i="16"/>
  <c r="D225" i="16"/>
  <c r="C225" i="16"/>
  <c r="D224" i="16"/>
  <c r="C224" i="16"/>
  <c r="D223" i="16"/>
  <c r="C223" i="16"/>
  <c r="D222" i="16"/>
  <c r="C222" i="16"/>
  <c r="D221" i="16"/>
  <c r="C221" i="16"/>
  <c r="D220" i="16"/>
  <c r="C220" i="16"/>
  <c r="D219" i="16"/>
  <c r="C219" i="16"/>
  <c r="D218" i="16"/>
  <c r="C218" i="16"/>
  <c r="D217" i="16"/>
  <c r="C217" i="16"/>
  <c r="D216" i="16"/>
  <c r="C216" i="16"/>
  <c r="D215" i="16"/>
  <c r="C215" i="16"/>
  <c r="D214" i="16"/>
  <c r="C214" i="16"/>
  <c r="D213" i="16"/>
  <c r="C213" i="16"/>
  <c r="D212" i="16"/>
  <c r="C212" i="16"/>
  <c r="D211" i="16"/>
  <c r="C211" i="16"/>
  <c r="D210" i="16"/>
  <c r="C210" i="16"/>
  <c r="D209" i="16"/>
  <c r="C209" i="16"/>
  <c r="D208" i="16"/>
  <c r="C208" i="16"/>
  <c r="D206" i="16"/>
  <c r="C206" i="16"/>
  <c r="D205" i="16"/>
  <c r="C205" i="16"/>
  <c r="D204" i="16"/>
  <c r="C204" i="16"/>
  <c r="D203" i="16"/>
  <c r="C203" i="16"/>
  <c r="D202" i="16"/>
  <c r="C202" i="16"/>
  <c r="D201" i="16"/>
  <c r="C201" i="16"/>
  <c r="D199" i="16"/>
  <c r="C199" i="16"/>
  <c r="D198" i="16"/>
  <c r="C198" i="16"/>
  <c r="D197" i="16"/>
  <c r="C197" i="16"/>
  <c r="D196" i="16"/>
  <c r="C196" i="16"/>
  <c r="D194" i="16"/>
  <c r="C194" i="16"/>
  <c r="D193" i="16"/>
  <c r="C193" i="16"/>
  <c r="D192" i="16"/>
  <c r="C192" i="16"/>
  <c r="D191" i="16"/>
  <c r="C191" i="16"/>
  <c r="D190" i="16"/>
  <c r="C190" i="16"/>
  <c r="D189" i="16"/>
  <c r="C189" i="16"/>
  <c r="D188" i="16"/>
  <c r="C188" i="16"/>
  <c r="D187" i="16"/>
  <c r="C187" i="16"/>
  <c r="D186" i="16"/>
  <c r="C186" i="16"/>
  <c r="D185" i="16"/>
  <c r="C185" i="16"/>
  <c r="D184" i="16"/>
  <c r="C184" i="16"/>
  <c r="D183" i="16"/>
  <c r="C183" i="16"/>
  <c r="D182" i="16"/>
  <c r="C182" i="16"/>
  <c r="D181" i="16"/>
  <c r="C181" i="16"/>
  <c r="D180" i="16"/>
  <c r="C180" i="16"/>
  <c r="D178" i="16"/>
  <c r="C178" i="16"/>
  <c r="D177" i="16"/>
  <c r="C177" i="16"/>
  <c r="D176" i="16"/>
  <c r="C176" i="16"/>
  <c r="D175" i="16"/>
  <c r="C175" i="16"/>
  <c r="D174" i="16"/>
  <c r="C174" i="16"/>
  <c r="D173" i="16"/>
  <c r="C173" i="16"/>
  <c r="D172" i="16"/>
  <c r="C172" i="16"/>
  <c r="D171" i="16"/>
  <c r="C171" i="16"/>
  <c r="D170" i="16"/>
  <c r="C170" i="16"/>
  <c r="D169" i="16"/>
  <c r="C169" i="16"/>
  <c r="D168" i="16"/>
  <c r="C168" i="16"/>
  <c r="D166" i="16"/>
  <c r="C166" i="16"/>
  <c r="D165" i="16"/>
  <c r="C165" i="16"/>
  <c r="D164" i="16"/>
  <c r="C164" i="16"/>
  <c r="D163" i="16"/>
  <c r="C163" i="16"/>
  <c r="D162" i="16"/>
  <c r="C162" i="16"/>
  <c r="D161" i="16"/>
  <c r="C161" i="16"/>
  <c r="D160" i="16"/>
  <c r="C160" i="16"/>
  <c r="D159" i="16"/>
  <c r="C159" i="16"/>
  <c r="D158" i="16"/>
  <c r="C158" i="16"/>
  <c r="D157" i="16"/>
  <c r="C157" i="16"/>
  <c r="D156" i="16"/>
  <c r="C156" i="16"/>
  <c r="D155" i="16"/>
  <c r="C155" i="16"/>
  <c r="D154" i="16"/>
  <c r="C154" i="16"/>
  <c r="D153" i="16"/>
  <c r="C153" i="16"/>
  <c r="D152" i="16"/>
  <c r="C152" i="16"/>
  <c r="D151" i="16"/>
  <c r="C151" i="16"/>
  <c r="D149" i="16"/>
  <c r="C149" i="16"/>
  <c r="D148" i="16"/>
  <c r="C148" i="16"/>
  <c r="D147" i="16"/>
  <c r="C147" i="16"/>
  <c r="D146" i="16"/>
  <c r="C146" i="16"/>
  <c r="D145" i="16"/>
  <c r="C145" i="16"/>
  <c r="D144" i="16"/>
  <c r="C144" i="16"/>
  <c r="D143" i="16"/>
  <c r="C143" i="16"/>
  <c r="D142" i="16"/>
  <c r="C142" i="16"/>
  <c r="D141" i="16"/>
  <c r="C141" i="16"/>
  <c r="D140" i="16"/>
  <c r="C140" i="16"/>
  <c r="D139" i="16"/>
  <c r="C139" i="16"/>
  <c r="D138" i="16"/>
  <c r="C138" i="16"/>
  <c r="D137" i="16"/>
  <c r="C137" i="16"/>
  <c r="D136" i="16"/>
  <c r="C136" i="16"/>
  <c r="D135" i="16"/>
  <c r="C135" i="16"/>
  <c r="D134" i="16"/>
  <c r="C134" i="16"/>
  <c r="D133" i="16"/>
  <c r="C133" i="16"/>
  <c r="D132" i="16"/>
  <c r="C132" i="16"/>
  <c r="D131" i="16"/>
  <c r="C131" i="16"/>
  <c r="D130" i="16"/>
  <c r="C130" i="16"/>
  <c r="D129" i="16"/>
  <c r="C129" i="16"/>
  <c r="D128" i="16"/>
  <c r="C128" i="16"/>
  <c r="D127" i="16"/>
  <c r="C127" i="16"/>
  <c r="D125" i="16"/>
  <c r="C125" i="16"/>
  <c r="D124" i="16"/>
  <c r="C124" i="16"/>
  <c r="D123" i="16"/>
  <c r="C123" i="16"/>
  <c r="D122" i="16"/>
  <c r="C122" i="16"/>
  <c r="D121" i="16"/>
  <c r="C121" i="16"/>
  <c r="D120" i="16"/>
  <c r="C120" i="16"/>
  <c r="D119" i="16"/>
  <c r="C119" i="16"/>
  <c r="D118" i="16"/>
  <c r="C118" i="16"/>
  <c r="D117" i="16"/>
  <c r="C117" i="16"/>
  <c r="D116" i="16"/>
  <c r="C116" i="16"/>
  <c r="D115" i="16"/>
  <c r="C115" i="16"/>
  <c r="D114" i="16"/>
  <c r="C114" i="16"/>
  <c r="D113" i="16"/>
  <c r="C113" i="16"/>
  <c r="D112" i="16"/>
  <c r="C112" i="16"/>
  <c r="D111" i="16"/>
  <c r="C111" i="16"/>
  <c r="D110" i="16"/>
  <c r="C110" i="16"/>
  <c r="D108" i="16"/>
  <c r="C108" i="16"/>
  <c r="D107" i="16"/>
  <c r="C107" i="16"/>
  <c r="D106" i="16"/>
  <c r="C106" i="16"/>
  <c r="D105" i="16"/>
  <c r="C105" i="16"/>
  <c r="D104" i="16"/>
  <c r="C104" i="16"/>
  <c r="D103" i="16"/>
  <c r="C103" i="16"/>
  <c r="D102" i="16"/>
  <c r="C102" i="16"/>
  <c r="D101" i="16"/>
  <c r="C101" i="16"/>
  <c r="D100" i="16"/>
  <c r="C100" i="16"/>
  <c r="D99" i="16"/>
  <c r="C99" i="16"/>
  <c r="D98" i="16"/>
  <c r="C98" i="16"/>
  <c r="D97" i="16"/>
  <c r="C97" i="16"/>
  <c r="D96" i="16"/>
  <c r="C96" i="16"/>
  <c r="D95" i="16"/>
  <c r="C95" i="16"/>
  <c r="D94" i="16"/>
  <c r="C94" i="16"/>
  <c r="D93" i="16"/>
  <c r="C93" i="16"/>
  <c r="D92" i="16"/>
  <c r="C92" i="16"/>
  <c r="D91" i="16"/>
  <c r="C91" i="16"/>
  <c r="C109" i="16"/>
  <c r="D109" i="16"/>
  <c r="D89" i="16"/>
  <c r="C89" i="16"/>
  <c r="D88" i="16"/>
  <c r="C88" i="16"/>
  <c r="D87" i="16"/>
  <c r="C87" i="16"/>
  <c r="D86" i="16"/>
  <c r="C86" i="16"/>
  <c r="D85" i="16"/>
  <c r="C85" i="16"/>
  <c r="D84" i="16"/>
  <c r="C84" i="16"/>
  <c r="D83" i="16"/>
  <c r="C83" i="16"/>
  <c r="D82" i="16"/>
  <c r="C82" i="16"/>
  <c r="D81" i="16"/>
  <c r="C81" i="16"/>
  <c r="D80" i="16"/>
  <c r="C80" i="16"/>
  <c r="D79" i="16"/>
  <c r="C79" i="16"/>
  <c r="D78" i="16"/>
  <c r="C78" i="16"/>
  <c r="D77" i="16"/>
  <c r="C77" i="16"/>
  <c r="D76" i="16"/>
  <c r="C76" i="16"/>
  <c r="D74" i="16"/>
  <c r="C74" i="16"/>
  <c r="D73" i="16"/>
  <c r="C73" i="16"/>
  <c r="D72" i="16"/>
  <c r="C72" i="16"/>
  <c r="D71" i="16"/>
  <c r="C71" i="16"/>
  <c r="D70" i="16"/>
  <c r="C70" i="16"/>
  <c r="D69" i="16"/>
  <c r="C69" i="16"/>
  <c r="D68" i="16"/>
  <c r="C68" i="16"/>
  <c r="D67" i="16"/>
  <c r="C67" i="16"/>
  <c r="D66" i="16"/>
  <c r="C66" i="16"/>
  <c r="D64" i="16"/>
  <c r="C64" i="16"/>
  <c r="D63" i="16"/>
  <c r="C63" i="16"/>
  <c r="D62" i="16"/>
  <c r="C62" i="16"/>
  <c r="D61" i="16"/>
  <c r="C61" i="16"/>
  <c r="D60" i="16"/>
  <c r="C60" i="16"/>
  <c r="D58" i="16"/>
  <c r="C58" i="16"/>
  <c r="D57" i="16"/>
  <c r="C57" i="16"/>
  <c r="D56" i="16"/>
  <c r="C56" i="16"/>
  <c r="D55" i="16"/>
  <c r="C55" i="16"/>
  <c r="D54" i="16"/>
  <c r="C54" i="16"/>
  <c r="D53" i="16"/>
  <c r="C53" i="16"/>
  <c r="D52" i="16"/>
  <c r="C52" i="16"/>
  <c r="D51" i="16"/>
  <c r="C51" i="16"/>
  <c r="D50" i="16"/>
  <c r="C50" i="16"/>
  <c r="D49" i="16"/>
  <c r="C49" i="16"/>
  <c r="D48" i="16"/>
  <c r="C48" i="16"/>
  <c r="D47" i="16"/>
  <c r="C47" i="16"/>
  <c r="D46" i="16"/>
  <c r="C46" i="16"/>
  <c r="D45" i="16"/>
  <c r="C45" i="16"/>
  <c r="D44" i="16"/>
  <c r="C44" i="16"/>
  <c r="D43" i="16"/>
  <c r="C43" i="16"/>
  <c r="D42" i="16"/>
  <c r="C42" i="16"/>
  <c r="D41" i="16"/>
  <c r="C41"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F18" i="13"/>
  <c r="F21" i="12"/>
  <c r="F20" i="12"/>
  <c r="F19" i="12"/>
  <c r="F18" i="12"/>
  <c r="F18" i="11"/>
  <c r="F18" i="10"/>
  <c r="F18" i="9"/>
  <c r="F36" i="4"/>
  <c r="F35" i="4"/>
  <c r="F34" i="4"/>
  <c r="F33" i="4"/>
  <c r="F32" i="4"/>
  <c r="F19" i="14" s="1"/>
  <c r="F31" i="4"/>
  <c r="F30" i="4"/>
  <c r="F29" i="4"/>
  <c r="F27" i="4"/>
  <c r="F26" i="4"/>
  <c r="F25" i="4"/>
  <c r="F24" i="4"/>
  <c r="F23" i="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I309" i="22"/>
  <c r="G309" i="22"/>
  <c r="I308" i="22"/>
  <c r="G308" i="22"/>
  <c r="I307" i="22"/>
  <c r="G307" i="22"/>
  <c r="I306" i="22"/>
  <c r="G306" i="22"/>
  <c r="I305" i="22"/>
  <c r="G305" i="22"/>
  <c r="I304" i="22"/>
  <c r="G304" i="22"/>
  <c r="I303" i="22"/>
  <c r="G303" i="22"/>
  <c r="I302" i="22"/>
  <c r="G302" i="22"/>
  <c r="I301" i="22"/>
  <c r="G301" i="22"/>
  <c r="I300" i="22"/>
  <c r="G300" i="22"/>
  <c r="I298" i="22"/>
  <c r="G298" i="22"/>
  <c r="I297" i="22"/>
  <c r="G297" i="22"/>
  <c r="I296" i="22"/>
  <c r="G296" i="22"/>
  <c r="I295" i="22"/>
  <c r="G295" i="22"/>
  <c r="I294" i="22"/>
  <c r="G294" i="22"/>
  <c r="I293" i="22"/>
  <c r="G293" i="22"/>
  <c r="I292" i="22"/>
  <c r="G292" i="22"/>
  <c r="I291" i="22"/>
  <c r="G291" i="22"/>
  <c r="I290" i="22"/>
  <c r="G290" i="22"/>
  <c r="I289" i="22"/>
  <c r="G289" i="22"/>
  <c r="I288" i="22"/>
  <c r="G288" i="22"/>
  <c r="I285" i="22"/>
  <c r="G285" i="22"/>
  <c r="I284" i="22"/>
  <c r="G284" i="22"/>
  <c r="I283" i="22"/>
  <c r="G283" i="22"/>
  <c r="I282" i="22"/>
  <c r="G282" i="22"/>
  <c r="I281" i="22"/>
  <c r="G281" i="22"/>
  <c r="I280" i="22"/>
  <c r="G280" i="22"/>
  <c r="I279" i="22"/>
  <c r="G279" i="22"/>
  <c r="I278" i="22"/>
  <c r="G278" i="22"/>
  <c r="I277" i="22"/>
  <c r="G277" i="22"/>
  <c r="I276" i="22"/>
  <c r="G276" i="22"/>
  <c r="I275" i="22"/>
  <c r="G275" i="22"/>
  <c r="I274" i="22"/>
  <c r="G274" i="22"/>
  <c r="I273" i="22"/>
  <c r="G273" i="22"/>
  <c r="I272" i="22"/>
  <c r="G272" i="22"/>
  <c r="I271" i="22"/>
  <c r="G271" i="22"/>
  <c r="I270" i="22"/>
  <c r="G270" i="22"/>
  <c r="I269" i="22"/>
  <c r="G269" i="22"/>
  <c r="I268" i="22"/>
  <c r="G268" i="22"/>
  <c r="I267" i="22"/>
  <c r="G267" i="22"/>
  <c r="I266" i="22"/>
  <c r="G266" i="22"/>
  <c r="I265" i="22"/>
  <c r="G265" i="22"/>
  <c r="I264" i="22"/>
  <c r="G264" i="22"/>
  <c r="I263" i="22"/>
  <c r="G263" i="22"/>
  <c r="I262" i="22"/>
  <c r="G262" i="22"/>
  <c r="I261" i="22"/>
  <c r="G261" i="22"/>
  <c r="I260" i="22"/>
  <c r="G260" i="22"/>
  <c r="I259" i="22"/>
  <c r="G259" i="22"/>
  <c r="I258" i="22"/>
  <c r="G258" i="22"/>
  <c r="I257" i="22"/>
  <c r="G257" i="22"/>
  <c r="I255" i="22"/>
  <c r="G255" i="22"/>
  <c r="I254" i="22"/>
  <c r="G254" i="22"/>
  <c r="I253" i="22"/>
  <c r="G253" i="22"/>
  <c r="I252" i="22"/>
  <c r="G252" i="22"/>
  <c r="I251" i="22"/>
  <c r="G251" i="22"/>
  <c r="I250" i="22"/>
  <c r="G250" i="22"/>
  <c r="I249" i="22"/>
  <c r="G249" i="22"/>
  <c r="I248" i="22"/>
  <c r="G248" i="22"/>
  <c r="I247" i="22"/>
  <c r="G247" i="22"/>
  <c r="I246" i="22"/>
  <c r="G246" i="22"/>
  <c r="I244" i="22"/>
  <c r="G244" i="22"/>
  <c r="I243" i="22"/>
  <c r="G243" i="22"/>
  <c r="I242" i="22"/>
  <c r="G242" i="22"/>
  <c r="I241" i="22"/>
  <c r="G241" i="22"/>
  <c r="I240" i="22"/>
  <c r="G240" i="22"/>
  <c r="I239" i="22"/>
  <c r="G239" i="22"/>
  <c r="I238" i="22"/>
  <c r="G238" i="22"/>
  <c r="I237" i="22"/>
  <c r="G237" i="22"/>
  <c r="I236" i="22"/>
  <c r="G236" i="22"/>
  <c r="I235" i="22"/>
  <c r="G235" i="22"/>
  <c r="I234" i="22"/>
  <c r="G234" i="22"/>
  <c r="I233" i="22"/>
  <c r="G233" i="22"/>
  <c r="I232" i="22"/>
  <c r="G232" i="22"/>
  <c r="I231" i="22"/>
  <c r="G231" i="22"/>
  <c r="I230" i="22"/>
  <c r="G230" i="22"/>
  <c r="I229" i="22"/>
  <c r="G229" i="22"/>
  <c r="I228" i="22"/>
  <c r="G228" i="22"/>
  <c r="I227" i="22"/>
  <c r="G227" i="22"/>
  <c r="I169" i="22"/>
  <c r="G169" i="22"/>
  <c r="I168" i="22"/>
  <c r="G168" i="22"/>
  <c r="I167" i="22"/>
  <c r="G167" i="22"/>
  <c r="I166" i="22"/>
  <c r="G166" i="22"/>
  <c r="I165" i="22"/>
  <c r="G165" i="22"/>
  <c r="I164" i="22"/>
  <c r="G164" i="22"/>
  <c r="I163" i="22"/>
  <c r="G163" i="22"/>
  <c r="I162" i="22"/>
  <c r="G162" i="22"/>
  <c r="I161" i="22"/>
  <c r="G161" i="22"/>
  <c r="I160" i="22"/>
  <c r="G160" i="22"/>
  <c r="I159" i="22"/>
  <c r="G159" i="22"/>
  <c r="I158" i="22"/>
  <c r="G158" i="22"/>
  <c r="I157" i="22"/>
  <c r="G157" i="22"/>
  <c r="I156" i="22"/>
  <c r="G156" i="22"/>
  <c r="I155" i="22"/>
  <c r="G155" i="22"/>
  <c r="I154" i="22"/>
  <c r="G154" i="22"/>
  <c r="I153" i="22"/>
  <c r="G153" i="22"/>
  <c r="I152" i="22"/>
  <c r="G152" i="22"/>
  <c r="I151" i="22"/>
  <c r="G151" i="22"/>
  <c r="I150" i="22"/>
  <c r="G150" i="22"/>
  <c r="I149" i="22"/>
  <c r="G149" i="22"/>
  <c r="I148" i="22"/>
  <c r="G148" i="22"/>
  <c r="I147" i="22"/>
  <c r="G147" i="22"/>
  <c r="I145" i="22"/>
  <c r="G145" i="22"/>
  <c r="I144" i="22"/>
  <c r="G144" i="22"/>
  <c r="I143" i="22"/>
  <c r="G143" i="22"/>
  <c r="I142" i="22"/>
  <c r="G142" i="22"/>
  <c r="I141" i="22"/>
  <c r="G141" i="22"/>
  <c r="I140" i="22"/>
  <c r="G140" i="22"/>
  <c r="I139" i="22"/>
  <c r="G139" i="22"/>
  <c r="I138" i="22"/>
  <c r="G138" i="22"/>
  <c r="I137" i="22"/>
  <c r="G137" i="22"/>
  <c r="I136" i="22"/>
  <c r="G136" i="22"/>
  <c r="I135" i="22"/>
  <c r="G135" i="22"/>
  <c r="I134" i="22"/>
  <c r="G134" i="22"/>
  <c r="I133" i="22"/>
  <c r="G133" i="22"/>
  <c r="I132" i="22"/>
  <c r="G132" i="22"/>
  <c r="I131" i="22"/>
  <c r="G131" i="22"/>
  <c r="I130" i="22"/>
  <c r="G130" i="22"/>
  <c r="I129" i="22"/>
  <c r="G129" i="22"/>
  <c r="I128" i="22"/>
  <c r="G128" i="22"/>
  <c r="I79" i="22"/>
  <c r="G79" i="22"/>
  <c r="I78" i="22"/>
  <c r="G78" i="22"/>
  <c r="I77" i="22"/>
  <c r="G77" i="22"/>
  <c r="I76" i="22"/>
  <c r="G76" i="22"/>
  <c r="I75" i="22"/>
  <c r="G75" i="22"/>
  <c r="I74" i="22"/>
  <c r="G74" i="22"/>
  <c r="I73" i="22"/>
  <c r="G73" i="22"/>
  <c r="I72" i="22"/>
  <c r="G72" i="22"/>
  <c r="I70" i="22"/>
  <c r="G70" i="22"/>
  <c r="I69" i="22"/>
  <c r="G69" i="22"/>
  <c r="I68" i="22"/>
  <c r="G68" i="22"/>
  <c r="I67" i="22"/>
  <c r="G67" i="22"/>
  <c r="I64" i="22"/>
  <c r="G64" i="22"/>
  <c r="I63" i="22"/>
  <c r="G63" i="22"/>
  <c r="I62" i="22"/>
  <c r="G62" i="22"/>
  <c r="I61" i="22"/>
  <c r="G61" i="22"/>
  <c r="I60" i="22"/>
  <c r="G60" i="22"/>
  <c r="I59" i="22"/>
  <c r="G59" i="22"/>
  <c r="I58" i="22"/>
  <c r="G58" i="22"/>
  <c r="I57" i="22"/>
  <c r="G57" i="22"/>
  <c r="I56" i="22"/>
  <c r="G56" i="22"/>
  <c r="G66" i="22"/>
  <c r="I66" i="22"/>
  <c r="F132" i="25"/>
  <c r="H132" i="25"/>
  <c r="J132" i="25"/>
  <c r="F133" i="25"/>
  <c r="H133" i="25"/>
  <c r="J133" i="25"/>
  <c r="F134" i="25"/>
  <c r="H134" i="25"/>
  <c r="J134" i="25"/>
  <c r="J131" i="25"/>
  <c r="H131" i="25"/>
  <c r="F131" i="25"/>
  <c r="F127" i="25"/>
  <c r="H127" i="25"/>
  <c r="J127" i="25"/>
  <c r="F128" i="25"/>
  <c r="H128" i="25"/>
  <c r="J128" i="25"/>
  <c r="F129" i="25"/>
  <c r="H129" i="25"/>
  <c r="J129" i="25"/>
  <c r="J126" i="25"/>
  <c r="H126" i="25"/>
  <c r="F126" i="25"/>
  <c r="E64" i="22"/>
  <c r="E63" i="22"/>
  <c r="E62" i="22"/>
  <c r="E61" i="22"/>
  <c r="E60" i="22"/>
  <c r="E59" i="22"/>
  <c r="E58" i="22"/>
  <c r="E57" i="22"/>
  <c r="E56" i="22"/>
  <c r="B91" i="14"/>
  <c r="A10" i="22"/>
  <c r="E50" i="10"/>
  <c r="E49" i="10"/>
  <c r="E48" i="10"/>
  <c r="E45" i="10"/>
  <c r="E47" i="10"/>
  <c r="E46" i="10"/>
  <c r="E44" i="10"/>
  <c r="E43" i="10"/>
  <c r="E42" i="10"/>
  <c r="E41" i="10"/>
  <c r="E40" i="10"/>
  <c r="E39" i="10"/>
  <c r="E38" i="10"/>
  <c r="E37" i="10"/>
  <c r="E36" i="10"/>
  <c r="A23" i="16"/>
  <c r="E22" i="8" l="1"/>
  <c r="A351" i="16"/>
  <c r="C351" i="16"/>
  <c r="D351" i="16"/>
  <c r="I2" i="25"/>
  <c r="J2" i="21"/>
  <c r="I2" i="22"/>
  <c r="F2" i="14"/>
  <c r="F2" i="13"/>
  <c r="F2" i="12"/>
  <c r="F2" i="11"/>
  <c r="F2" i="10"/>
  <c r="F2" i="9"/>
  <c r="F2" i="8"/>
  <c r="F2" i="4"/>
  <c r="A10" i="25" l="1"/>
  <c r="A43" i="25"/>
  <c r="A52" i="22"/>
  <c r="A9" i="22"/>
  <c r="A11" i="4"/>
  <c r="A11" i="8"/>
  <c r="A11" i="14"/>
  <c r="A11" i="13"/>
  <c r="A11" i="12"/>
  <c r="A11" i="11"/>
  <c r="A11" i="10"/>
  <c r="A11" i="9"/>
  <c r="A10" i="8"/>
  <c r="C17" i="22" l="1"/>
  <c r="E35" i="10"/>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X334" i="2" l="1"/>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X4" i="2"/>
  <c r="X3" i="2"/>
  <c r="A96" i="25" l="1"/>
  <c r="C3" i="8" l="1"/>
  <c r="B104" i="16"/>
  <c r="A366" i="16"/>
  <c r="A357" i="16"/>
  <c r="A345" i="16"/>
  <c r="A339" i="16"/>
  <c r="A336" i="16"/>
  <c r="A327" i="16"/>
  <c r="A311" i="16"/>
  <c r="A305" i="16"/>
  <c r="A291" i="16"/>
  <c r="A282" i="16"/>
  <c r="A279" i="16"/>
  <c r="A276" i="16"/>
  <c r="A272" i="16"/>
  <c r="A267" i="16"/>
  <c r="A261" i="16"/>
  <c r="A250" i="16"/>
  <c r="A237" i="16"/>
  <c r="A207" i="16"/>
  <c r="A200" i="16"/>
  <c r="A195" i="16"/>
  <c r="A179" i="16"/>
  <c r="A167" i="16"/>
  <c r="A150" i="16"/>
  <c r="A126" i="16"/>
  <c r="A109" i="16"/>
  <c r="A90" i="16"/>
  <c r="A75" i="16"/>
  <c r="A65" i="16"/>
  <c r="A59" i="16"/>
  <c r="A40" i="16"/>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G134" i="25" s="1"/>
  <c r="A78" i="22"/>
  <c r="A24" i="20"/>
  <c r="B22" i="14"/>
  <c r="E36" i="4"/>
  <c r="E79" i="22" s="1"/>
  <c r="E134" i="25" s="1"/>
  <c r="B36" i="4"/>
  <c r="E35" i="4"/>
  <c r="E78" i="22" s="1"/>
  <c r="B35" i="4"/>
  <c r="G24" i="20" l="1"/>
  <c r="H24" i="20"/>
  <c r="J24" i="20"/>
  <c r="D24" i="20"/>
  <c r="C24" i="20"/>
  <c r="B24" i="20"/>
  <c r="E24" i="20"/>
  <c r="I134" i="25"/>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G30" i="25" s="1"/>
  <c r="B29" i="25"/>
  <c r="G29" i="25" s="1"/>
  <c r="B28" i="25"/>
  <c r="G28" i="25" s="1"/>
  <c r="B27" i="25"/>
  <c r="G27" i="25" s="1"/>
  <c r="B26" i="25"/>
  <c r="G26" i="25" s="1"/>
  <c r="B25" i="25"/>
  <c r="G25" i="25" s="1"/>
  <c r="B24" i="25"/>
  <c r="G24" i="25" s="1"/>
  <c r="B23" i="25"/>
  <c r="G23" i="25" s="1"/>
  <c r="B22" i="25"/>
  <c r="G22" i="25" s="1"/>
  <c r="B21" i="25"/>
  <c r="G21" i="25" s="1"/>
  <c r="I24" i="20" l="1"/>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C14" i="8"/>
  <c r="C16" i="8"/>
  <c r="C17" i="8"/>
  <c r="C18" i="8"/>
  <c r="C19" i="8"/>
  <c r="C20" i="8"/>
  <c r="C13" i="8"/>
  <c r="A227" i="22"/>
  <c r="A226" i="22" s="1"/>
  <c r="A228" i="22"/>
  <c r="A229" i="22"/>
  <c r="A230" i="22"/>
  <c r="A231" i="22"/>
  <c r="A232" i="22"/>
  <c r="A233" i="22"/>
  <c r="A234" i="22"/>
  <c r="A235" i="22"/>
  <c r="A236" i="22"/>
  <c r="A237" i="22"/>
  <c r="A238" i="22"/>
  <c r="A239" i="22"/>
  <c r="A240" i="22"/>
  <c r="A241" i="22"/>
  <c r="A242" i="22"/>
  <c r="A243" i="22"/>
  <c r="A244" i="22"/>
  <c r="A311" i="22"/>
  <c r="A312" i="22"/>
  <c r="A314" i="22"/>
  <c r="A315" i="22"/>
  <c r="A316" i="22"/>
  <c r="A317" i="22"/>
  <c r="A318" i="22"/>
  <c r="A320" i="22"/>
  <c r="A321" i="22"/>
  <c r="A322" i="22"/>
  <c r="A323" i="22"/>
  <c r="A324" i="22"/>
  <c r="A326" i="22"/>
  <c r="A327" i="22"/>
  <c r="A328" i="22"/>
  <c r="A329" i="22"/>
  <c r="A330" i="22"/>
  <c r="A332" i="22"/>
  <c r="A333" i="22"/>
  <c r="A334" i="22"/>
  <c r="A335" i="22"/>
  <c r="A336" i="22"/>
  <c r="A337" i="22"/>
  <c r="A338" i="22"/>
  <c r="A339" i="22"/>
  <c r="A341" i="22"/>
  <c r="A342" i="22"/>
  <c r="A343" i="22"/>
  <c r="A344" i="22"/>
  <c r="A345" i="22"/>
  <c r="A346" i="22"/>
  <c r="A246" i="22"/>
  <c r="A245" i="22" s="1"/>
  <c r="A247" i="22"/>
  <c r="A248" i="22"/>
  <c r="A249" i="22"/>
  <c r="A250" i="22"/>
  <c r="A251" i="22"/>
  <c r="A252" i="22"/>
  <c r="A253" i="22"/>
  <c r="A254" i="22"/>
  <c r="A255"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5" i="22"/>
  <c r="A287" i="22"/>
  <c r="A288" i="22"/>
  <c r="A289" i="22"/>
  <c r="A290" i="22"/>
  <c r="A291" i="22"/>
  <c r="A292" i="22"/>
  <c r="A293" i="22"/>
  <c r="A294" i="22"/>
  <c r="A295" i="22"/>
  <c r="A296" i="22"/>
  <c r="A297" i="22"/>
  <c r="A298" i="22"/>
  <c r="A300" i="22"/>
  <c r="A301" i="22"/>
  <c r="A302" i="22"/>
  <c r="A303" i="22"/>
  <c r="A304" i="22"/>
  <c r="A305" i="22"/>
  <c r="A306" i="22"/>
  <c r="A307" i="22"/>
  <c r="A308" i="22"/>
  <c r="A309" i="22"/>
  <c r="A171" i="22"/>
  <c r="A172" i="22"/>
  <c r="A173" i="22"/>
  <c r="A174" i="22"/>
  <c r="A175" i="22"/>
  <c r="A176" i="22"/>
  <c r="A177" i="22"/>
  <c r="A178" i="22"/>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A204" i="22"/>
  <c r="A205" i="22"/>
  <c r="A206" i="22"/>
  <c r="A207" i="22"/>
  <c r="A208" i="22"/>
  <c r="A209" i="22"/>
  <c r="A210" i="22"/>
  <c r="A211" i="22"/>
  <c r="A212" i="22"/>
  <c r="A213" i="22"/>
  <c r="A215" i="22"/>
  <c r="A216" i="22"/>
  <c r="A217" i="22"/>
  <c r="A218" i="22"/>
  <c r="A220" i="22"/>
  <c r="A221" i="22"/>
  <c r="A222" i="22"/>
  <c r="A223" i="22"/>
  <c r="A224" i="22"/>
  <c r="A225" i="22"/>
  <c r="A128" i="22"/>
  <c r="A127" i="22" s="1"/>
  <c r="A129" i="22"/>
  <c r="A130" i="22"/>
  <c r="A131" i="22"/>
  <c r="A132" i="22"/>
  <c r="A133" i="22"/>
  <c r="A134" i="22"/>
  <c r="A135" i="22"/>
  <c r="A136" i="22"/>
  <c r="A137" i="22"/>
  <c r="A138" i="22"/>
  <c r="A139" i="22"/>
  <c r="A140" i="22"/>
  <c r="A141" i="22"/>
  <c r="A142" i="22"/>
  <c r="A143" i="22"/>
  <c r="A144" i="22"/>
  <c r="A145"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26" i="22"/>
  <c r="A125" i="22"/>
  <c r="A124" i="22"/>
  <c r="A123" i="22"/>
  <c r="A122" i="22"/>
  <c r="A121" i="22"/>
  <c r="A120" i="22"/>
  <c r="A119" i="22"/>
  <c r="A118" i="22"/>
  <c r="A117" i="22"/>
  <c r="A116" i="22"/>
  <c r="A115" i="22"/>
  <c r="A114" i="22"/>
  <c r="A113" i="22"/>
  <c r="A112" i="22"/>
  <c r="A110" i="22"/>
  <c r="A109" i="22"/>
  <c r="A108" i="22"/>
  <c r="A107" i="22"/>
  <c r="A106" i="22"/>
  <c r="A105" i="22"/>
  <c r="A104" i="22"/>
  <c r="A103" i="22"/>
  <c r="A102" i="22"/>
  <c r="A101" i="22"/>
  <c r="A100" i="22"/>
  <c r="A99" i="22"/>
  <c r="A98" i="22"/>
  <c r="A97" i="22"/>
  <c r="A96" i="22"/>
  <c r="A95" i="22"/>
  <c r="A93" i="22"/>
  <c r="A92" i="22"/>
  <c r="A91" i="22"/>
  <c r="A90" i="22"/>
  <c r="A89" i="22"/>
  <c r="A87" i="22"/>
  <c r="A86" i="22"/>
  <c r="A85" i="22"/>
  <c r="A84" i="22"/>
  <c r="A83" i="22"/>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D57" i="22" s="1"/>
  <c r="A58" i="22"/>
  <c r="A59" i="22"/>
  <c r="D59" i="22" s="1"/>
  <c r="A60" i="22"/>
  <c r="A61" i="22"/>
  <c r="D61" i="22" s="1"/>
  <c r="A62" i="22"/>
  <c r="A63" i="22"/>
  <c r="D63" i="22" s="1"/>
  <c r="A64" i="22"/>
  <c r="A66" i="22"/>
  <c r="I126" i="25" s="1"/>
  <c r="A67" i="22"/>
  <c r="G127" i="25" s="1"/>
  <c r="A68" i="22"/>
  <c r="A69" i="22"/>
  <c r="A70" i="22"/>
  <c r="A72" i="22"/>
  <c r="A73" i="22"/>
  <c r="A74" i="22"/>
  <c r="A75" i="22"/>
  <c r="A76" i="22"/>
  <c r="A77" i="22"/>
  <c r="G39" i="22"/>
  <c r="E52" i="14"/>
  <c r="E75" i="25" s="1"/>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I195" i="22" l="1"/>
  <c r="G195" i="22"/>
  <c r="E195" i="22"/>
  <c r="I216" i="22"/>
  <c r="G216" i="22"/>
  <c r="I205" i="22"/>
  <c r="G205" i="22"/>
  <c r="I194" i="22"/>
  <c r="G194" i="22"/>
  <c r="E194" i="22"/>
  <c r="I183" i="22"/>
  <c r="G183" i="22"/>
  <c r="I173" i="22"/>
  <c r="G173" i="22"/>
  <c r="I196" i="22"/>
  <c r="G196" i="22"/>
  <c r="E196" i="22"/>
  <c r="I174" i="22"/>
  <c r="G174" i="22"/>
  <c r="A214" i="22"/>
  <c r="G215" i="22"/>
  <c r="I215" i="22"/>
  <c r="G204" i="22"/>
  <c r="I204" i="22"/>
  <c r="G193" i="22"/>
  <c r="I193" i="22"/>
  <c r="E193" i="22"/>
  <c r="I182" i="22"/>
  <c r="G182" i="22"/>
  <c r="G172" i="22"/>
  <c r="I172" i="22"/>
  <c r="I206" i="22"/>
  <c r="G206" i="22"/>
  <c r="I225" i="22"/>
  <c r="G225" i="22"/>
  <c r="G213" i="22"/>
  <c r="I213" i="22"/>
  <c r="I203" i="22"/>
  <c r="G203" i="22"/>
  <c r="G192" i="22"/>
  <c r="I192" i="22"/>
  <c r="E192" i="22"/>
  <c r="G181" i="22"/>
  <c r="I181" i="22"/>
  <c r="A170" i="22"/>
  <c r="G171" i="22"/>
  <c r="I171" i="22"/>
  <c r="I207" i="22"/>
  <c r="G207" i="22"/>
  <c r="I217" i="22"/>
  <c r="G217" i="22"/>
  <c r="I184" i="22"/>
  <c r="G184" i="22"/>
  <c r="I224" i="22"/>
  <c r="G224" i="22"/>
  <c r="I212" i="22"/>
  <c r="G212" i="22"/>
  <c r="I201" i="22"/>
  <c r="G201" i="22"/>
  <c r="E201" i="22"/>
  <c r="I191" i="22"/>
  <c r="G191" i="22"/>
  <c r="E191" i="22"/>
  <c r="I180" i="22"/>
  <c r="G180" i="22"/>
  <c r="I186" i="22"/>
  <c r="G186" i="22"/>
  <c r="E186" i="22"/>
  <c r="I223" i="22"/>
  <c r="G223" i="22"/>
  <c r="I211" i="22"/>
  <c r="G211" i="22"/>
  <c r="I200" i="22"/>
  <c r="G200" i="22"/>
  <c r="E200" i="22"/>
  <c r="I190" i="22"/>
  <c r="G190" i="22"/>
  <c r="E190" i="22"/>
  <c r="I179" i="22"/>
  <c r="G179" i="22"/>
  <c r="I218" i="22"/>
  <c r="G218" i="22"/>
  <c r="I222" i="22"/>
  <c r="G222" i="22"/>
  <c r="I210" i="22"/>
  <c r="G210" i="22"/>
  <c r="I199" i="22"/>
  <c r="G199" i="22"/>
  <c r="E199" i="22"/>
  <c r="I189" i="22"/>
  <c r="G189" i="22"/>
  <c r="E189" i="22"/>
  <c r="I178" i="22"/>
  <c r="G178" i="22"/>
  <c r="G221" i="22"/>
  <c r="I221" i="22"/>
  <c r="G209" i="22"/>
  <c r="I209" i="22"/>
  <c r="G198" i="22"/>
  <c r="I198" i="22"/>
  <c r="E198" i="22"/>
  <c r="G188" i="22"/>
  <c r="I188" i="22"/>
  <c r="E188" i="22"/>
  <c r="G177" i="22"/>
  <c r="I177" i="22"/>
  <c r="I175" i="22"/>
  <c r="G175" i="22"/>
  <c r="G220" i="22"/>
  <c r="I220" i="22"/>
  <c r="G208" i="22"/>
  <c r="I208" i="22"/>
  <c r="G197" i="22"/>
  <c r="I197" i="22"/>
  <c r="E197" i="22"/>
  <c r="G187" i="22"/>
  <c r="I187" i="22"/>
  <c r="E187" i="22"/>
  <c r="I176" i="22"/>
  <c r="G176" i="22"/>
  <c r="G103" i="22"/>
  <c r="I103" i="22"/>
  <c r="I82" i="22"/>
  <c r="G82" i="22"/>
  <c r="I93" i="22"/>
  <c r="G93" i="22"/>
  <c r="I104" i="22"/>
  <c r="G104" i="22"/>
  <c r="G115" i="22"/>
  <c r="I115" i="22"/>
  <c r="I125" i="22"/>
  <c r="G125" i="22"/>
  <c r="G92" i="22"/>
  <c r="I92" i="22"/>
  <c r="I83" i="22"/>
  <c r="G83" i="22"/>
  <c r="I95" i="22"/>
  <c r="G95" i="22"/>
  <c r="I105" i="22"/>
  <c r="G105" i="22"/>
  <c r="I116" i="22"/>
  <c r="G116" i="22"/>
  <c r="I126" i="22"/>
  <c r="G126" i="22"/>
  <c r="G124" i="22"/>
  <c r="I124" i="22"/>
  <c r="I84" i="22"/>
  <c r="G84" i="22"/>
  <c r="I96" i="22"/>
  <c r="G96" i="22"/>
  <c r="I106" i="22"/>
  <c r="G106" i="22"/>
  <c r="I117" i="22"/>
  <c r="G117" i="22"/>
  <c r="G81" i="22"/>
  <c r="I81" i="22"/>
  <c r="E81" i="22"/>
  <c r="G114" i="22"/>
  <c r="I114" i="22"/>
  <c r="I85" i="22"/>
  <c r="G85" i="22"/>
  <c r="I97" i="22"/>
  <c r="G97" i="22"/>
  <c r="I107" i="22"/>
  <c r="G107" i="22"/>
  <c r="I118" i="22"/>
  <c r="G118" i="22"/>
  <c r="I87" i="22"/>
  <c r="G87" i="22"/>
  <c r="I99" i="22"/>
  <c r="G99" i="22"/>
  <c r="G109" i="22"/>
  <c r="I109" i="22"/>
  <c r="G120" i="22"/>
  <c r="I120" i="22"/>
  <c r="G119" i="22"/>
  <c r="I119" i="22"/>
  <c r="I89" i="22"/>
  <c r="G89" i="22"/>
  <c r="I100" i="22"/>
  <c r="G100" i="22"/>
  <c r="I110" i="22"/>
  <c r="G110" i="22"/>
  <c r="I121" i="22"/>
  <c r="G121" i="22"/>
  <c r="G98" i="22"/>
  <c r="I98" i="22"/>
  <c r="G108" i="22"/>
  <c r="I108" i="22"/>
  <c r="I90" i="22"/>
  <c r="G90" i="22"/>
  <c r="I101" i="22"/>
  <c r="G101" i="22"/>
  <c r="I112" i="22"/>
  <c r="G112" i="22"/>
  <c r="I122" i="22"/>
  <c r="G122" i="22"/>
  <c r="G86" i="22"/>
  <c r="I86" i="22"/>
  <c r="I91" i="22"/>
  <c r="G91" i="22"/>
  <c r="I102" i="22"/>
  <c r="G102" i="22"/>
  <c r="I113" i="22"/>
  <c r="G113" i="22"/>
  <c r="I123" i="22"/>
  <c r="G123" i="22"/>
  <c r="I342" i="22"/>
  <c r="G342" i="22"/>
  <c r="I318" i="22"/>
  <c r="G318" i="22"/>
  <c r="I341" i="22"/>
  <c r="G341" i="22"/>
  <c r="I317" i="22"/>
  <c r="G317" i="22"/>
  <c r="I316" i="22"/>
  <c r="G316" i="22"/>
  <c r="I320" i="22"/>
  <c r="G320" i="22"/>
  <c r="I339" i="22"/>
  <c r="G339" i="22"/>
  <c r="I338" i="22"/>
  <c r="G338" i="22"/>
  <c r="I315" i="22"/>
  <c r="G315" i="22"/>
  <c r="I337" i="22"/>
  <c r="G337" i="22"/>
  <c r="A313" i="22"/>
  <c r="I314" i="22"/>
  <c r="G314" i="22"/>
  <c r="I336" i="22"/>
  <c r="G336" i="22"/>
  <c r="I312" i="22"/>
  <c r="G312" i="22"/>
  <c r="I335" i="22"/>
  <c r="G335" i="22"/>
  <c r="A310" i="22"/>
  <c r="I311" i="22"/>
  <c r="G311" i="22"/>
  <c r="I334" i="22"/>
  <c r="G334" i="22"/>
  <c r="I333" i="22"/>
  <c r="G333" i="22"/>
  <c r="A331" i="22"/>
  <c r="I332" i="22"/>
  <c r="G332" i="22"/>
  <c r="I330" i="22"/>
  <c r="G330" i="22"/>
  <c r="I329" i="22"/>
  <c r="G329" i="22"/>
  <c r="I328" i="22"/>
  <c r="G328" i="22"/>
  <c r="I327" i="22"/>
  <c r="G327" i="22"/>
  <c r="I324" i="22"/>
  <c r="G324" i="22"/>
  <c r="I346" i="22"/>
  <c r="G346" i="22"/>
  <c r="I323" i="22"/>
  <c r="G323" i="22"/>
  <c r="I326" i="22"/>
  <c r="G326" i="22"/>
  <c r="I345" i="22"/>
  <c r="G345" i="22"/>
  <c r="I322" i="22"/>
  <c r="G322" i="22"/>
  <c r="I344" i="22"/>
  <c r="G344" i="22"/>
  <c r="I321" i="22"/>
  <c r="G321" i="22"/>
  <c r="I343" i="22"/>
  <c r="G343" i="22"/>
  <c r="H3" i="20"/>
  <c r="J3" i="20"/>
  <c r="J302" i="20"/>
  <c r="I302" i="20"/>
  <c r="H302" i="20"/>
  <c r="G302" i="20"/>
  <c r="J278" i="20"/>
  <c r="I278" i="20"/>
  <c r="H278" i="20"/>
  <c r="G278" i="20"/>
  <c r="J254" i="20"/>
  <c r="I254" i="20"/>
  <c r="H254" i="20"/>
  <c r="G254" i="20"/>
  <c r="H293" i="20"/>
  <c r="G293" i="20"/>
  <c r="J293" i="20"/>
  <c r="I293" i="20"/>
  <c r="H261" i="20"/>
  <c r="G261" i="20"/>
  <c r="J261" i="20"/>
  <c r="I261" i="20"/>
  <c r="J292" i="20"/>
  <c r="I292" i="20"/>
  <c r="H292" i="20"/>
  <c r="G292" i="20"/>
  <c r="J276" i="20"/>
  <c r="I276" i="20"/>
  <c r="H276" i="20"/>
  <c r="G276" i="20"/>
  <c r="J260" i="20"/>
  <c r="I260" i="20"/>
  <c r="K260" i="20" s="1"/>
  <c r="H260" i="20"/>
  <c r="G260" i="20"/>
  <c r="J244" i="20"/>
  <c r="I244" i="20"/>
  <c r="H244" i="20"/>
  <c r="G244" i="20"/>
  <c r="H11" i="20"/>
  <c r="J11" i="20"/>
  <c r="J286" i="20"/>
  <c r="I286" i="20"/>
  <c r="H286" i="20"/>
  <c r="G286" i="20"/>
  <c r="J246" i="20"/>
  <c r="I246" i="20"/>
  <c r="H246" i="20"/>
  <c r="G246" i="20"/>
  <c r="H301" i="20"/>
  <c r="J301" i="20"/>
  <c r="I301" i="20"/>
  <c r="G301" i="20"/>
  <c r="H277" i="20"/>
  <c r="J277" i="20"/>
  <c r="I277" i="20"/>
  <c r="G277" i="20"/>
  <c r="H20" i="20"/>
  <c r="J20" i="20"/>
  <c r="J300" i="20"/>
  <c r="I300" i="20"/>
  <c r="H300" i="20"/>
  <c r="G300" i="20"/>
  <c r="J284" i="20"/>
  <c r="I284" i="20"/>
  <c r="H284" i="20"/>
  <c r="G284" i="20"/>
  <c r="J268" i="20"/>
  <c r="I268" i="20"/>
  <c r="H268" i="20"/>
  <c r="G268" i="20"/>
  <c r="J252" i="20"/>
  <c r="I252" i="20"/>
  <c r="H252" i="20"/>
  <c r="G252" i="20"/>
  <c r="I19" i="20"/>
  <c r="H19" i="20"/>
  <c r="J19" i="20"/>
  <c r="H299" i="20"/>
  <c r="J299" i="20"/>
  <c r="I299" i="20"/>
  <c r="G299" i="20"/>
  <c r="H291" i="20"/>
  <c r="I291" i="20"/>
  <c r="G291" i="20"/>
  <c r="J291" i="20"/>
  <c r="H283" i="20"/>
  <c r="J283" i="20"/>
  <c r="I283" i="20"/>
  <c r="G283" i="20"/>
  <c r="H275" i="20"/>
  <c r="I275" i="20"/>
  <c r="G275" i="20"/>
  <c r="J275" i="20"/>
  <c r="H267" i="20"/>
  <c r="J267" i="20"/>
  <c r="I267" i="20"/>
  <c r="G267" i="20"/>
  <c r="H259" i="20"/>
  <c r="I259" i="20"/>
  <c r="G259" i="20"/>
  <c r="J259" i="20"/>
  <c r="H251" i="20"/>
  <c r="J251" i="20"/>
  <c r="I251" i="20"/>
  <c r="G251" i="20"/>
  <c r="H243" i="20"/>
  <c r="I243" i="20"/>
  <c r="G243" i="20"/>
  <c r="J243" i="20"/>
  <c r="I27" i="20"/>
  <c r="H18" i="20"/>
  <c r="J18" i="20"/>
  <c r="H10" i="20"/>
  <c r="J10" i="20"/>
  <c r="J294" i="20"/>
  <c r="I294" i="20"/>
  <c r="H294" i="20"/>
  <c r="G294" i="20"/>
  <c r="J262" i="20"/>
  <c r="I262" i="20"/>
  <c r="H262" i="20"/>
  <c r="G262" i="20"/>
  <c r="J238" i="20"/>
  <c r="I238" i="20"/>
  <c r="H238" i="20"/>
  <c r="G238" i="20"/>
  <c r="J134" i="20"/>
  <c r="H21" i="20"/>
  <c r="J21" i="20"/>
  <c r="J13" i="20"/>
  <c r="H13" i="20"/>
  <c r="G13" i="20"/>
  <c r="H5" i="20"/>
  <c r="J5" i="20"/>
  <c r="H285" i="20"/>
  <c r="J285" i="20"/>
  <c r="I285" i="20"/>
  <c r="G285" i="20"/>
  <c r="H269" i="20"/>
  <c r="J269" i="20"/>
  <c r="I269" i="20"/>
  <c r="G269" i="20"/>
  <c r="H245" i="20"/>
  <c r="J245" i="20"/>
  <c r="I245" i="20"/>
  <c r="G245" i="20"/>
  <c r="J298" i="20"/>
  <c r="I298" i="20"/>
  <c r="H298" i="20"/>
  <c r="G298" i="20"/>
  <c r="J282" i="20"/>
  <c r="I282" i="20"/>
  <c r="H282" i="20"/>
  <c r="G282" i="20"/>
  <c r="J274" i="20"/>
  <c r="I274" i="20"/>
  <c r="H274" i="20"/>
  <c r="G274" i="20"/>
  <c r="J266" i="20"/>
  <c r="I266" i="20"/>
  <c r="H266" i="20"/>
  <c r="G266" i="20"/>
  <c r="J258" i="20"/>
  <c r="I258" i="20"/>
  <c r="H258" i="20"/>
  <c r="G258" i="20"/>
  <c r="J250" i="20"/>
  <c r="I250" i="20"/>
  <c r="H250" i="20"/>
  <c r="G250" i="20"/>
  <c r="J242" i="20"/>
  <c r="I242" i="20"/>
  <c r="H242" i="20"/>
  <c r="G242" i="20"/>
  <c r="H17" i="20"/>
  <c r="J17" i="20"/>
  <c r="J9" i="20"/>
  <c r="H9" i="20"/>
  <c r="H289" i="20"/>
  <c r="J289" i="20"/>
  <c r="I289" i="20"/>
  <c r="G289" i="20"/>
  <c r="H281" i="20"/>
  <c r="G281" i="20"/>
  <c r="J281" i="20"/>
  <c r="I281" i="20"/>
  <c r="H265" i="20"/>
  <c r="G265" i="20"/>
  <c r="J265" i="20"/>
  <c r="I265" i="20"/>
  <c r="H249" i="20"/>
  <c r="G249" i="20"/>
  <c r="J249" i="20"/>
  <c r="I249" i="20"/>
  <c r="I81" i="20"/>
  <c r="H16" i="20"/>
  <c r="I16" i="20"/>
  <c r="J16" i="20"/>
  <c r="H8" i="20"/>
  <c r="J8" i="20"/>
  <c r="J296" i="20"/>
  <c r="I296" i="20"/>
  <c r="H296" i="20"/>
  <c r="G296" i="20"/>
  <c r="J288" i="20"/>
  <c r="I288" i="20"/>
  <c r="H288" i="20"/>
  <c r="G288" i="20"/>
  <c r="J280" i="20"/>
  <c r="I280" i="20"/>
  <c r="H280" i="20"/>
  <c r="G280" i="20"/>
  <c r="J272" i="20"/>
  <c r="I272" i="20"/>
  <c r="H272" i="20"/>
  <c r="G272" i="20"/>
  <c r="J264" i="20"/>
  <c r="I264" i="20"/>
  <c r="H264" i="20"/>
  <c r="G264" i="20"/>
  <c r="J256" i="20"/>
  <c r="I256" i="20"/>
  <c r="H256" i="20"/>
  <c r="G256" i="20"/>
  <c r="J248" i="20"/>
  <c r="I248" i="20"/>
  <c r="H248" i="20"/>
  <c r="G248" i="20"/>
  <c r="J240" i="20"/>
  <c r="I240" i="20"/>
  <c r="H240" i="20"/>
  <c r="G240" i="20"/>
  <c r="J64" i="20"/>
  <c r="H23" i="20"/>
  <c r="J23" i="20"/>
  <c r="H15" i="20"/>
  <c r="J15" i="20"/>
  <c r="H7" i="20"/>
  <c r="J7" i="20"/>
  <c r="J270" i="20"/>
  <c r="I270" i="20"/>
  <c r="H270" i="20"/>
  <c r="G270" i="20"/>
  <c r="H253" i="20"/>
  <c r="J253" i="20"/>
  <c r="I253" i="20"/>
  <c r="G253" i="20"/>
  <c r="J101" i="20"/>
  <c r="H12" i="20"/>
  <c r="I12" i="20"/>
  <c r="J12" i="20"/>
  <c r="H4" i="20"/>
  <c r="J4" i="20"/>
  <c r="J290" i="20"/>
  <c r="I290" i="20"/>
  <c r="H290" i="20"/>
  <c r="G290" i="20"/>
  <c r="H297" i="20"/>
  <c r="G297" i="20"/>
  <c r="J297" i="20"/>
  <c r="I297" i="20"/>
  <c r="H273" i="20"/>
  <c r="J273" i="20"/>
  <c r="I273" i="20"/>
  <c r="G273" i="20"/>
  <c r="H257" i="20"/>
  <c r="J257" i="20"/>
  <c r="I257" i="20"/>
  <c r="G257" i="20"/>
  <c r="H241" i="20"/>
  <c r="J241" i="20"/>
  <c r="I241" i="20"/>
  <c r="G241" i="20"/>
  <c r="H295" i="20"/>
  <c r="J295" i="20"/>
  <c r="I295" i="20"/>
  <c r="G295" i="20"/>
  <c r="H287" i="20"/>
  <c r="J287" i="20"/>
  <c r="I287" i="20"/>
  <c r="G287" i="20"/>
  <c r="H279" i="20"/>
  <c r="J279" i="20"/>
  <c r="I279" i="20"/>
  <c r="G279" i="20"/>
  <c r="H271" i="20"/>
  <c r="I271" i="20"/>
  <c r="G271" i="20"/>
  <c r="J271" i="20"/>
  <c r="H263" i="20"/>
  <c r="J263" i="20"/>
  <c r="I263" i="20"/>
  <c r="G263" i="20"/>
  <c r="H255" i="20"/>
  <c r="J255" i="20"/>
  <c r="I255" i="20"/>
  <c r="G255" i="20"/>
  <c r="H247" i="20"/>
  <c r="J247" i="20"/>
  <c r="I247" i="20"/>
  <c r="G247" i="20"/>
  <c r="H239" i="20"/>
  <c r="I239" i="20"/>
  <c r="J239" i="20"/>
  <c r="G239" i="20"/>
  <c r="H22" i="20"/>
  <c r="J22" i="20"/>
  <c r="H14" i="20"/>
  <c r="J14" i="20"/>
  <c r="H6" i="20"/>
  <c r="J6" i="20"/>
  <c r="C58" i="22"/>
  <c r="F5" i="20" s="1"/>
  <c r="D58" i="22"/>
  <c r="C64" i="22"/>
  <c r="F11" i="20" s="1"/>
  <c r="D64" i="22"/>
  <c r="G3" i="20"/>
  <c r="D56" i="22"/>
  <c r="C62" i="22"/>
  <c r="F9" i="20" s="1"/>
  <c r="D62" i="22"/>
  <c r="C60" i="22"/>
  <c r="F7" i="20" s="1"/>
  <c r="D60" i="22"/>
  <c r="D79" i="22"/>
  <c r="D134" i="25" s="1"/>
  <c r="D78" i="22"/>
  <c r="D75" i="25"/>
  <c r="D188" i="22"/>
  <c r="D194" i="22"/>
  <c r="D187" i="22"/>
  <c r="D190" i="22"/>
  <c r="D195" i="22"/>
  <c r="D199" i="22"/>
  <c r="D191" i="22"/>
  <c r="D200" i="22"/>
  <c r="D196" i="22"/>
  <c r="D201" i="22"/>
  <c r="D189" i="22"/>
  <c r="D198" i="22"/>
  <c r="D192" i="22"/>
  <c r="D197" i="22"/>
  <c r="D193" i="22"/>
  <c r="C22" i="14"/>
  <c r="E22" i="14" s="1"/>
  <c r="D22" i="14"/>
  <c r="C324" i="20"/>
  <c r="C316" i="20"/>
  <c r="C322" i="20"/>
  <c r="B314" i="20"/>
  <c r="B331" i="20"/>
  <c r="B323" i="20"/>
  <c r="B315" i="20"/>
  <c r="B307" i="20"/>
  <c r="C321" i="20"/>
  <c r="C313" i="20"/>
  <c r="C305" i="20"/>
  <c r="M288" i="20"/>
  <c r="Q288" i="20" s="1"/>
  <c r="S288" i="20" s="1"/>
  <c r="M256" i="20"/>
  <c r="Q256" i="20" s="1"/>
  <c r="S256" i="20" s="1"/>
  <c r="C245" i="20"/>
  <c r="M245" i="20"/>
  <c r="Q245" i="20" s="1"/>
  <c r="S245" i="20" s="1"/>
  <c r="B197" i="20"/>
  <c r="C149" i="20"/>
  <c r="B105" i="20"/>
  <c r="C42" i="20"/>
  <c r="B27" i="20"/>
  <c r="B280" i="20"/>
  <c r="M280" i="20"/>
  <c r="Q280" i="20" s="1"/>
  <c r="S280" i="20" s="1"/>
  <c r="E248" i="20"/>
  <c r="M248" i="20"/>
  <c r="Q248" i="20" s="1"/>
  <c r="S248" i="20" s="1"/>
  <c r="B293" i="20"/>
  <c r="M293" i="20"/>
  <c r="Q293" i="20" s="1"/>
  <c r="S293" i="20" s="1"/>
  <c r="M261" i="20"/>
  <c r="Q261" i="20" s="1"/>
  <c r="S261" i="20" s="1"/>
  <c r="B229" i="20"/>
  <c r="B205" i="20"/>
  <c r="C136" i="20"/>
  <c r="M276" i="20"/>
  <c r="Q276" i="20" s="1"/>
  <c r="S276" i="20" s="1"/>
  <c r="B196" i="20"/>
  <c r="B156" i="20"/>
  <c r="E128" i="20"/>
  <c r="B81" i="20"/>
  <c r="B301" i="20"/>
  <c r="M301" i="20"/>
  <c r="Q301" i="20" s="1"/>
  <c r="S301" i="20" s="1"/>
  <c r="M277" i="20"/>
  <c r="Q277" i="20" s="1"/>
  <c r="S277" i="20" s="1"/>
  <c r="C253" i="20"/>
  <c r="M253" i="20"/>
  <c r="Q253" i="20" s="1"/>
  <c r="S253" i="20" s="1"/>
  <c r="B221" i="20"/>
  <c r="B189" i="20"/>
  <c r="C173" i="20"/>
  <c r="B97" i="20"/>
  <c r="B74" i="20"/>
  <c r="B66" i="20"/>
  <c r="C50" i="20"/>
  <c r="M292" i="20"/>
  <c r="Q292" i="20" s="1"/>
  <c r="S292" i="20" s="1"/>
  <c r="M260" i="20"/>
  <c r="Q260" i="20" s="1"/>
  <c r="S260" i="20" s="1"/>
  <c r="M291" i="20"/>
  <c r="Q291" i="20" s="1"/>
  <c r="S291" i="20" s="1"/>
  <c r="M275" i="20"/>
  <c r="Q275" i="20" s="1"/>
  <c r="S275" i="20" s="1"/>
  <c r="M259" i="20"/>
  <c r="Q259" i="20" s="1"/>
  <c r="S259" i="20" s="1"/>
  <c r="M243" i="20"/>
  <c r="Q243" i="20" s="1"/>
  <c r="S243" i="20" s="1"/>
  <c r="C195" i="20"/>
  <c r="B179" i="20"/>
  <c r="D119" i="20"/>
  <c r="C64" i="20"/>
  <c r="E32" i="20"/>
  <c r="L32" i="20" s="1"/>
  <c r="M285" i="20"/>
  <c r="Q285" i="20" s="1"/>
  <c r="S285" i="20" s="1"/>
  <c r="B269" i="20"/>
  <c r="M269" i="20"/>
  <c r="Q269" i="20" s="1"/>
  <c r="S269" i="20" s="1"/>
  <c r="C237" i="20"/>
  <c r="B213" i="20"/>
  <c r="C181" i="20"/>
  <c r="M300" i="20"/>
  <c r="Q300" i="20" s="1"/>
  <c r="S300" i="20" s="1"/>
  <c r="M268" i="20"/>
  <c r="Q268" i="20" s="1"/>
  <c r="S268" i="20" s="1"/>
  <c r="M244" i="20"/>
  <c r="Q244" i="20" s="1"/>
  <c r="B96" i="20"/>
  <c r="D41" i="20"/>
  <c r="M299" i="20"/>
  <c r="Q299" i="20" s="1"/>
  <c r="S299" i="20" s="1"/>
  <c r="M283" i="20"/>
  <c r="Q283" i="20" s="1"/>
  <c r="S283" i="20" s="1"/>
  <c r="M267" i="20"/>
  <c r="Q267" i="20" s="1"/>
  <c r="S267" i="20" s="1"/>
  <c r="M251" i="20"/>
  <c r="Q251" i="20" s="1"/>
  <c r="S251" i="20" s="1"/>
  <c r="C219" i="20"/>
  <c r="C95" i="20"/>
  <c r="C88" i="20"/>
  <c r="C72" i="20"/>
  <c r="D56" i="20"/>
  <c r="D25" i="20"/>
  <c r="M298" i="20"/>
  <c r="Q298" i="20" s="1"/>
  <c r="S298" i="20" s="1"/>
  <c r="M290" i="20"/>
  <c r="Q290" i="20" s="1"/>
  <c r="S290" i="20" s="1"/>
  <c r="M282" i="20"/>
  <c r="Q282" i="20" s="1"/>
  <c r="S282" i="20" s="1"/>
  <c r="M274" i="20"/>
  <c r="Q274" i="20" s="1"/>
  <c r="S274" i="20" s="1"/>
  <c r="M266" i="20"/>
  <c r="Q266" i="20" s="1"/>
  <c r="S266" i="20" s="1"/>
  <c r="M258" i="20"/>
  <c r="Q258" i="20" s="1"/>
  <c r="S258" i="20" s="1"/>
  <c r="B250" i="20"/>
  <c r="M250" i="20"/>
  <c r="Q250" i="20" s="1"/>
  <c r="S250" i="20" s="1"/>
  <c r="M242" i="20"/>
  <c r="Q242" i="20" s="1"/>
  <c r="S242" i="20" s="1"/>
  <c r="C234" i="20"/>
  <c r="C186" i="20"/>
  <c r="B170" i="20"/>
  <c r="C71" i="20"/>
  <c r="M284" i="20"/>
  <c r="Q284" i="20" s="1"/>
  <c r="S284" i="20" s="1"/>
  <c r="M252" i="20"/>
  <c r="Q252" i="20" s="1"/>
  <c r="S252" i="20" s="1"/>
  <c r="B220" i="20"/>
  <c r="B188" i="20"/>
  <c r="D164" i="20"/>
  <c r="B104" i="20"/>
  <c r="M297" i="20"/>
  <c r="Q297" i="20" s="1"/>
  <c r="M289" i="20"/>
  <c r="Q289" i="20" s="1"/>
  <c r="S289" i="20" s="1"/>
  <c r="M281" i="20"/>
  <c r="Q281" i="20" s="1"/>
  <c r="S281" i="20" s="1"/>
  <c r="M273" i="20"/>
  <c r="Q273" i="20" s="1"/>
  <c r="S273" i="20" s="1"/>
  <c r="M265" i="20"/>
  <c r="Q265" i="20" s="1"/>
  <c r="S265" i="20" s="1"/>
  <c r="M257" i="20"/>
  <c r="Q257" i="20" s="1"/>
  <c r="S257" i="20" s="1"/>
  <c r="M249" i="20"/>
  <c r="Q249" i="20" s="1"/>
  <c r="S249" i="20" s="1"/>
  <c r="M241" i="20"/>
  <c r="Q241" i="20" s="1"/>
  <c r="S241" i="20" s="1"/>
  <c r="M272" i="20"/>
  <c r="Q272" i="20" s="1"/>
  <c r="S272" i="20" s="1"/>
  <c r="B144" i="20"/>
  <c r="B139" i="20"/>
  <c r="B124" i="20"/>
  <c r="B116" i="20"/>
  <c r="D108" i="20"/>
  <c r="B85" i="20"/>
  <c r="B13" i="20"/>
  <c r="M296" i="20"/>
  <c r="Q296" i="20" s="1"/>
  <c r="S296" i="20" s="1"/>
  <c r="M264" i="20"/>
  <c r="Q264" i="20" s="1"/>
  <c r="S264" i="20" s="1"/>
  <c r="M240" i="20"/>
  <c r="Q240" i="20" s="1"/>
  <c r="B208" i="20"/>
  <c r="B168" i="20"/>
  <c r="B152" i="20"/>
  <c r="B61" i="20"/>
  <c r="B45" i="20"/>
  <c r="B29" i="20"/>
  <c r="M287" i="20"/>
  <c r="Q287" i="20" s="1"/>
  <c r="S287" i="20" s="1"/>
  <c r="M271" i="20"/>
  <c r="Q271" i="20" s="1"/>
  <c r="S271" i="20" s="1"/>
  <c r="M255" i="20"/>
  <c r="Q255" i="20" s="1"/>
  <c r="M239" i="20"/>
  <c r="Q239" i="20" s="1"/>
  <c r="B138" i="20"/>
  <c r="D99" i="20"/>
  <c r="B84" i="20"/>
  <c r="B68" i="20"/>
  <c r="B36" i="20"/>
  <c r="D4" i="20"/>
  <c r="M4" i="20"/>
  <c r="Q4" i="20" s="1"/>
  <c r="B92" i="20"/>
  <c r="B53" i="20"/>
  <c r="B21" i="20"/>
  <c r="D3" i="20"/>
  <c r="M3" i="20"/>
  <c r="Q3" i="20" s="1"/>
  <c r="M295" i="20"/>
  <c r="Q295" i="20" s="1"/>
  <c r="S295" i="20" s="1"/>
  <c r="M279" i="20"/>
  <c r="Q279" i="20" s="1"/>
  <c r="S279" i="20" s="1"/>
  <c r="M263" i="20"/>
  <c r="Q263" i="20" s="1"/>
  <c r="S263" i="20" s="1"/>
  <c r="M247" i="20"/>
  <c r="Q247" i="20" s="1"/>
  <c r="S247" i="20" s="1"/>
  <c r="D107" i="20"/>
  <c r="B302" i="20"/>
  <c r="M302" i="20"/>
  <c r="Q302" i="20" s="1"/>
  <c r="S302" i="20" s="1"/>
  <c r="M294" i="20"/>
  <c r="Q294" i="20" s="1"/>
  <c r="S294" i="20" s="1"/>
  <c r="M286" i="20"/>
  <c r="Q286" i="20" s="1"/>
  <c r="S286" i="20" s="1"/>
  <c r="M278" i="20"/>
  <c r="Q278" i="20" s="1"/>
  <c r="S278" i="20" s="1"/>
  <c r="B270" i="20"/>
  <c r="M270" i="20"/>
  <c r="Q270" i="20" s="1"/>
  <c r="S270" i="20" s="1"/>
  <c r="M262" i="20"/>
  <c r="Q262" i="20" s="1"/>
  <c r="S262" i="20" s="1"/>
  <c r="M254" i="20"/>
  <c r="Q254" i="20" s="1"/>
  <c r="S254" i="20" s="1"/>
  <c r="M246" i="20"/>
  <c r="Q246" i="20" s="1"/>
  <c r="S246" i="20" s="1"/>
  <c r="M238" i="20"/>
  <c r="Q238" i="20" s="1"/>
  <c r="M5" i="20"/>
  <c r="Q5" i="20" s="1"/>
  <c r="M11" i="20"/>
  <c r="Q11" i="20" s="1"/>
  <c r="M8" i="20"/>
  <c r="Q8" i="20" s="1"/>
  <c r="B9" i="20"/>
  <c r="M9" i="20"/>
  <c r="Q9" i="20" s="1"/>
  <c r="M7" i="20"/>
  <c r="Q7" i="20" s="1"/>
  <c r="B6" i="20"/>
  <c r="M6" i="20"/>
  <c r="Q6" i="20" s="1"/>
  <c r="M10" i="20"/>
  <c r="Q10" i="20" s="1"/>
  <c r="B18" i="20"/>
  <c r="C16" i="20"/>
  <c r="B20" i="20"/>
  <c r="G23" i="20"/>
  <c r="C79" i="22"/>
  <c r="C134" i="25" s="1"/>
  <c r="B79" i="22"/>
  <c r="C61" i="22"/>
  <c r="F8" i="20" s="1"/>
  <c r="I4" i="20"/>
  <c r="C57" i="22"/>
  <c r="F4" i="20" s="1"/>
  <c r="I10" i="20"/>
  <c r="C63" i="22"/>
  <c r="F10" i="20" s="1"/>
  <c r="C59" i="22"/>
  <c r="F6" i="20" s="1"/>
  <c r="I3" i="20"/>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229" i="22"/>
  <c r="C198" i="22"/>
  <c r="C138" i="22"/>
  <c r="C130" i="22"/>
  <c r="C77" i="22"/>
  <c r="C133" i="25" s="1"/>
  <c r="C76" i="22"/>
  <c r="C132" i="25" s="1"/>
  <c r="C75" i="22"/>
  <c r="C131" i="25" s="1"/>
  <c r="C73" i="22"/>
  <c r="C72" i="22"/>
  <c r="C318" i="22"/>
  <c r="C336" i="22"/>
  <c r="C344" i="22"/>
  <c r="C329" i="22"/>
  <c r="C328" i="22"/>
  <c r="C314" i="22"/>
  <c r="C277" i="22"/>
  <c r="C269" i="22"/>
  <c r="C261" i="22"/>
  <c r="C281" i="22"/>
  <c r="C300" i="22"/>
  <c r="C304" i="22"/>
  <c r="C273" i="22"/>
  <c r="C265" i="22"/>
  <c r="A286" i="22"/>
  <c r="C257" i="22"/>
  <c r="C308" i="22"/>
  <c r="C285" i="22"/>
  <c r="C241" i="22"/>
  <c r="C237" i="22"/>
  <c r="C179" i="22"/>
  <c r="C183" i="22"/>
  <c r="C190" i="22"/>
  <c r="C177" i="22"/>
  <c r="C212" i="22"/>
  <c r="C223" i="22"/>
  <c r="C196" i="22"/>
  <c r="C188" i="22"/>
  <c r="C186" i="22"/>
  <c r="C194" i="22"/>
  <c r="C181" i="22"/>
  <c r="C175" i="22"/>
  <c r="C200" i="22"/>
  <c r="C233" i="22"/>
  <c r="C242" i="22"/>
  <c r="C238" i="22"/>
  <c r="C234" i="22"/>
  <c r="C230" i="22"/>
  <c r="C173" i="22"/>
  <c r="A299" i="22"/>
  <c r="C243" i="22"/>
  <c r="C239" i="22"/>
  <c r="C235" i="22"/>
  <c r="C231" i="22"/>
  <c r="C227" i="22"/>
  <c r="C244" i="22"/>
  <c r="C240" i="22"/>
  <c r="C236" i="22"/>
  <c r="C232" i="22"/>
  <c r="C228" i="22"/>
  <c r="C132" i="22"/>
  <c r="C339" i="22"/>
  <c r="C335" i="22"/>
  <c r="C324" i="22"/>
  <c r="C320" i="22"/>
  <c r="A256" i="22"/>
  <c r="C345" i="22"/>
  <c r="C341" i="22"/>
  <c r="C330" i="22"/>
  <c r="C326" i="22"/>
  <c r="C315" i="22"/>
  <c r="C321" i="22"/>
  <c r="C346" i="22"/>
  <c r="C342" i="22"/>
  <c r="C327" i="22"/>
  <c r="A319" i="22"/>
  <c r="C316" i="22"/>
  <c r="A340" i="22"/>
  <c r="C337" i="22"/>
  <c r="C333" i="22"/>
  <c r="A325" i="22"/>
  <c r="C322" i="22"/>
  <c r="C311" i="22"/>
  <c r="C332" i="22"/>
  <c r="C343" i="22"/>
  <c r="C317" i="22"/>
  <c r="C248" i="22"/>
  <c r="C338" i="22"/>
  <c r="C334" i="22"/>
  <c r="C323" i="22"/>
  <c r="C312" i="22"/>
  <c r="C252" i="22"/>
  <c r="C309" i="22"/>
  <c r="C305" i="22"/>
  <c r="C301" i="22"/>
  <c r="C282" i="22"/>
  <c r="C278" i="22"/>
  <c r="C274" i="22"/>
  <c r="C270" i="22"/>
  <c r="C266" i="22"/>
  <c r="C262" i="22"/>
  <c r="C258" i="22"/>
  <c r="C296" i="22"/>
  <c r="C292" i="22"/>
  <c r="C288" i="22"/>
  <c r="C253" i="22"/>
  <c r="C249" i="22"/>
  <c r="C295" i="22"/>
  <c r="C291" i="22"/>
  <c r="C287" i="22"/>
  <c r="A185" i="22"/>
  <c r="G303" i="20" s="1"/>
  <c r="C306" i="22"/>
  <c r="C302" i="22"/>
  <c r="C283" i="22"/>
  <c r="C279" i="22"/>
  <c r="C275" i="22"/>
  <c r="C271" i="22"/>
  <c r="C267" i="22"/>
  <c r="C263" i="22"/>
  <c r="C259" i="22"/>
  <c r="C297" i="22"/>
  <c r="C293" i="22"/>
  <c r="C289" i="22"/>
  <c r="C254" i="22"/>
  <c r="C250" i="22"/>
  <c r="C246" i="22"/>
  <c r="C307" i="22"/>
  <c r="C303" i="22"/>
  <c r="C284" i="22"/>
  <c r="C280" i="22"/>
  <c r="C276" i="22"/>
  <c r="C272" i="22"/>
  <c r="C268" i="22"/>
  <c r="C264" i="22"/>
  <c r="C260" i="22"/>
  <c r="C298" i="22"/>
  <c r="C294" i="22"/>
  <c r="C290" i="22"/>
  <c r="C255" i="22"/>
  <c r="C251" i="22"/>
  <c r="C247" i="22"/>
  <c r="C206" i="22"/>
  <c r="A219" i="22"/>
  <c r="C216" i="22"/>
  <c r="C199" i="22"/>
  <c r="C195" i="22"/>
  <c r="C191" i="22"/>
  <c r="C187" i="22"/>
  <c r="C222" i="22"/>
  <c r="C211" i="22"/>
  <c r="C207" i="22"/>
  <c r="C203" i="22"/>
  <c r="C182" i="22"/>
  <c r="C178" i="22"/>
  <c r="C174" i="22"/>
  <c r="C225" i="22"/>
  <c r="C221" i="22"/>
  <c r="C210" i="22"/>
  <c r="C217" i="22"/>
  <c r="C192" i="22"/>
  <c r="I73" i="20"/>
  <c r="C208" i="22"/>
  <c r="C204" i="22"/>
  <c r="G77" i="20"/>
  <c r="C171" i="22"/>
  <c r="C218" i="22"/>
  <c r="A202" i="22"/>
  <c r="G228" i="20" s="1"/>
  <c r="C201" i="22"/>
  <c r="C197" i="22"/>
  <c r="C193" i="22"/>
  <c r="C189" i="22"/>
  <c r="C224" i="22"/>
  <c r="C220" i="22"/>
  <c r="C213" i="22"/>
  <c r="C209" i="22"/>
  <c r="C205" i="22"/>
  <c r="C184" i="22"/>
  <c r="C180" i="22"/>
  <c r="C176" i="22"/>
  <c r="C172" i="22"/>
  <c r="C215" i="22"/>
  <c r="C148" i="22"/>
  <c r="C142" i="22"/>
  <c r="C158" i="22"/>
  <c r="C168" i="22"/>
  <c r="C164" i="22"/>
  <c r="I180" i="25"/>
  <c r="C150" i="22"/>
  <c r="C160" i="22"/>
  <c r="A146" i="22"/>
  <c r="C154" i="22"/>
  <c r="C156" i="22"/>
  <c r="C162" i="22"/>
  <c r="C134" i="22"/>
  <c r="C152" i="22"/>
  <c r="C166" i="22"/>
  <c r="C167" i="22"/>
  <c r="C163" i="22"/>
  <c r="C159" i="22"/>
  <c r="C155" i="22"/>
  <c r="C151" i="22"/>
  <c r="C147" i="22"/>
  <c r="C74" i="22"/>
  <c r="I129" i="20"/>
  <c r="C143" i="22"/>
  <c r="C139" i="22"/>
  <c r="C135" i="22"/>
  <c r="G82" i="20"/>
  <c r="C131" i="22"/>
  <c r="C128" i="22"/>
  <c r="C165" i="25" s="1"/>
  <c r="I132" i="25"/>
  <c r="C169" i="22"/>
  <c r="C165" i="22"/>
  <c r="C161" i="22"/>
  <c r="C157" i="22"/>
  <c r="G178" i="25"/>
  <c r="C153" i="22"/>
  <c r="C149" i="22"/>
  <c r="C140" i="22"/>
  <c r="C145" i="22"/>
  <c r="C141" i="22"/>
  <c r="C137" i="22"/>
  <c r="C133" i="22"/>
  <c r="C129" i="22"/>
  <c r="C144" i="22"/>
  <c r="C136" i="22"/>
  <c r="I131" i="25"/>
  <c r="G147" i="25"/>
  <c r="C103" i="22"/>
  <c r="C107" i="22"/>
  <c r="C81" i="22"/>
  <c r="C136" i="25" s="1"/>
  <c r="G26" i="20"/>
  <c r="C99" i="22"/>
  <c r="C83" i="22"/>
  <c r="C91" i="22"/>
  <c r="C95" i="22"/>
  <c r="C87" i="22"/>
  <c r="C97" i="22"/>
  <c r="C101" i="22"/>
  <c r="C89" i="22"/>
  <c r="G131" i="25"/>
  <c r="C84" i="22"/>
  <c r="C98" i="22"/>
  <c r="C102" i="22"/>
  <c r="G104" i="20"/>
  <c r="C106" i="22"/>
  <c r="C110" i="22"/>
  <c r="C93" i="22"/>
  <c r="I136" i="25"/>
  <c r="I139" i="25"/>
  <c r="C92" i="22"/>
  <c r="C115" i="22"/>
  <c r="G166" i="20"/>
  <c r="C119" i="22"/>
  <c r="C123" i="22"/>
  <c r="C116" i="22"/>
  <c r="C124" i="22"/>
  <c r="I54" i="20"/>
  <c r="G99" i="20"/>
  <c r="G103" i="20"/>
  <c r="C105" i="22"/>
  <c r="C109" i="22"/>
  <c r="C112" i="22"/>
  <c r="C120" i="22"/>
  <c r="A80" i="22"/>
  <c r="A94" i="22"/>
  <c r="C114" i="22"/>
  <c r="C118" i="22"/>
  <c r="C122" i="22"/>
  <c r="C203" i="25" s="1"/>
  <c r="G204" i="25"/>
  <c r="C126" i="22"/>
  <c r="C82" i="22"/>
  <c r="C86" i="22"/>
  <c r="A88" i="22"/>
  <c r="C96" i="22"/>
  <c r="C100" i="22"/>
  <c r="C104" i="22"/>
  <c r="C108" i="22"/>
  <c r="A111" i="22"/>
  <c r="C90" i="22"/>
  <c r="C147" i="25" s="1"/>
  <c r="C113" i="22"/>
  <c r="C117" i="22"/>
  <c r="C121" i="22"/>
  <c r="C125" i="22"/>
  <c r="I7" i="20"/>
  <c r="G7" i="20"/>
  <c r="I133" i="25"/>
  <c r="I17" i="20"/>
  <c r="G10" i="20"/>
  <c r="G16" i="20"/>
  <c r="G126" i="25"/>
  <c r="G19" i="20"/>
  <c r="C70" i="22"/>
  <c r="C66" i="22"/>
  <c r="C126" i="25" s="1"/>
  <c r="I18" i="20"/>
  <c r="C69" i="22"/>
  <c r="C129" i="25" s="1"/>
  <c r="I11" i="20"/>
  <c r="I5" i="20"/>
  <c r="G11" i="20"/>
  <c r="I23" i="20"/>
  <c r="A55" i="22"/>
  <c r="I9" i="20"/>
  <c r="I6" i="20"/>
  <c r="I8" i="20"/>
  <c r="G6" i="20"/>
  <c r="A71" i="22"/>
  <c r="G132" i="25"/>
  <c r="G17" i="20"/>
  <c r="I127" i="25"/>
  <c r="G8" i="20"/>
  <c r="G4" i="20"/>
  <c r="G133" i="25"/>
  <c r="G18" i="20"/>
  <c r="I128" i="25"/>
  <c r="G9" i="20"/>
  <c r="G5" i="20"/>
  <c r="G128" i="25"/>
  <c r="C67" i="22"/>
  <c r="C127" i="25" s="1"/>
  <c r="I129" i="25"/>
  <c r="A65" i="22"/>
  <c r="G129" i="25"/>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L21" i="20" s="1"/>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D87" i="20"/>
  <c r="E79" i="20"/>
  <c r="D79" i="20"/>
  <c r="E71" i="20"/>
  <c r="D71" i="20"/>
  <c r="E63" i="20"/>
  <c r="D63" i="20"/>
  <c r="E55" i="20"/>
  <c r="D55" i="20"/>
  <c r="E47" i="20"/>
  <c r="D47" i="20"/>
  <c r="E39" i="20"/>
  <c r="D39" i="20"/>
  <c r="E31" i="20"/>
  <c r="D31" i="20"/>
  <c r="E23" i="20"/>
  <c r="L23" i="20" s="1"/>
  <c r="D23" i="20"/>
  <c r="E15" i="20"/>
  <c r="D15" i="20"/>
  <c r="E7" i="20"/>
  <c r="L7" i="20" s="1"/>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L22" i="20" s="1"/>
  <c r="D22" i="20"/>
  <c r="C22" i="20"/>
  <c r="E14" i="20"/>
  <c r="D14" i="20"/>
  <c r="C14" i="20"/>
  <c r="E6" i="20"/>
  <c r="L6" i="20" s="1"/>
  <c r="D6" i="20"/>
  <c r="C235" i="20"/>
  <c r="E311" i="20"/>
  <c r="D311" i="20"/>
  <c r="C311" i="20"/>
  <c r="E288" i="20"/>
  <c r="D288" i="20"/>
  <c r="C288" i="20"/>
  <c r="C264" i="20"/>
  <c r="E264" i="20"/>
  <c r="C240" i="20"/>
  <c r="D240" i="20"/>
  <c r="E224" i="20"/>
  <c r="D224" i="20"/>
  <c r="C224" i="20"/>
  <c r="C200" i="20"/>
  <c r="E200" i="20"/>
  <c r="D184" i="20"/>
  <c r="C184" i="20"/>
  <c r="C168" i="20"/>
  <c r="E168" i="20"/>
  <c r="C275" i="20"/>
  <c r="C147" i="20"/>
  <c r="E3" i="20"/>
  <c r="L3" i="20" s="1"/>
  <c r="C3" i="20"/>
  <c r="E326" i="20"/>
  <c r="D326" i="20"/>
  <c r="C326" i="20"/>
  <c r="E318" i="20"/>
  <c r="C318" i="20"/>
  <c r="E310" i="20"/>
  <c r="C310" i="20"/>
  <c r="E295" i="20"/>
  <c r="D295" i="20"/>
  <c r="C295" i="20"/>
  <c r="E287" i="20"/>
  <c r="C287" i="20"/>
  <c r="D287" i="20"/>
  <c r="E279" i="20"/>
  <c r="D279" i="20"/>
  <c r="C279" i="20"/>
  <c r="E271" i="20"/>
  <c r="C271" i="20"/>
  <c r="E263" i="20"/>
  <c r="C263" i="20"/>
  <c r="E255" i="20"/>
  <c r="C255" i="20"/>
  <c r="D255" i="20"/>
  <c r="E247" i="20"/>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D244" i="20"/>
  <c r="C244" i="20"/>
  <c r="E236" i="20"/>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L17" i="20" s="1"/>
  <c r="D17" i="20"/>
  <c r="C17" i="20"/>
  <c r="E9" i="20"/>
  <c r="L9" i="20" s="1"/>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E8" i="20"/>
  <c r="L8" i="20" s="1"/>
  <c r="C8" i="20"/>
  <c r="D32" i="20"/>
  <c r="D64" i="20"/>
  <c r="D95" i="20"/>
  <c r="C5" i="20"/>
  <c r="E13" i="20"/>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E28" i="20"/>
  <c r="E20" i="20"/>
  <c r="L20" i="20" s="1"/>
  <c r="E12" i="20"/>
  <c r="C4" i="20"/>
  <c r="E4" i="20"/>
  <c r="L4" i="20" s="1"/>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L19" i="20" s="1"/>
  <c r="D19" i="20"/>
  <c r="E11" i="20"/>
  <c r="L11" i="20" s="1"/>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L5" i="20" s="1"/>
  <c r="D28" i="20"/>
  <c r="E37" i="20"/>
  <c r="D60" i="20"/>
  <c r="E69" i="20"/>
  <c r="D91" i="20"/>
  <c r="E100" i="20"/>
  <c r="D123" i="20"/>
  <c r="E132" i="20"/>
  <c r="D151" i="20"/>
  <c r="E160" i="20"/>
  <c r="D183" i="20"/>
  <c r="D215" i="20"/>
  <c r="E285" i="20"/>
  <c r="D285" i="20"/>
  <c r="E277" i="20"/>
  <c r="D277" i="20"/>
  <c r="E269" i="20"/>
  <c r="D269" i="20"/>
  <c r="E261" i="20"/>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L18" i="20" s="1"/>
  <c r="D18" i="20"/>
  <c r="C10" i="20"/>
  <c r="E10" i="20"/>
  <c r="L10" i="20" s="1"/>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H236" i="20" l="1"/>
  <c r="J178" i="20"/>
  <c r="I160" i="20"/>
  <c r="I153" i="25"/>
  <c r="H216" i="20"/>
  <c r="G194" i="25"/>
  <c r="H34" i="20"/>
  <c r="I237" i="25"/>
  <c r="G189" i="20"/>
  <c r="C154" i="25"/>
  <c r="I45" i="20"/>
  <c r="I245" i="25"/>
  <c r="C152" i="25"/>
  <c r="G234" i="25"/>
  <c r="I220" i="25"/>
  <c r="J143" i="20"/>
  <c r="C214" i="25"/>
  <c r="C254" i="25"/>
  <c r="I259" i="25"/>
  <c r="G257" i="25"/>
  <c r="I179" i="20"/>
  <c r="C251" i="25"/>
  <c r="I308" i="20"/>
  <c r="I180" i="20"/>
  <c r="I155" i="25"/>
  <c r="J209" i="20"/>
  <c r="C206" i="25"/>
  <c r="G146" i="25"/>
  <c r="C146" i="25"/>
  <c r="G168" i="20"/>
  <c r="G172" i="25"/>
  <c r="C166" i="25"/>
  <c r="C177" i="25"/>
  <c r="I185" i="25"/>
  <c r="C186" i="25"/>
  <c r="G183" i="25"/>
  <c r="C175" i="25"/>
  <c r="C162" i="25"/>
  <c r="G110" i="20"/>
  <c r="G73" i="20"/>
  <c r="I69" i="20"/>
  <c r="C193" i="25"/>
  <c r="I76" i="20"/>
  <c r="I156" i="20"/>
  <c r="G167" i="25"/>
  <c r="G248" i="25"/>
  <c r="I216" i="25"/>
  <c r="C233" i="25"/>
  <c r="I256" i="25"/>
  <c r="G152" i="25"/>
  <c r="I152" i="25"/>
  <c r="I255" i="25"/>
  <c r="G158" i="25"/>
  <c r="I187" i="25"/>
  <c r="I37" i="20"/>
  <c r="I44" i="20"/>
  <c r="I211" i="25"/>
  <c r="H135" i="20"/>
  <c r="G129" i="20"/>
  <c r="I101" i="20"/>
  <c r="H56" i="20"/>
  <c r="J216" i="20"/>
  <c r="J41" i="20"/>
  <c r="J34" i="20"/>
  <c r="G178" i="20"/>
  <c r="I86" i="20"/>
  <c r="I155" i="20"/>
  <c r="J236" i="20"/>
  <c r="J189" i="20"/>
  <c r="H167" i="20"/>
  <c r="G209" i="20"/>
  <c r="J205" i="20"/>
  <c r="J96" i="20"/>
  <c r="H81" i="20"/>
  <c r="H58" i="20"/>
  <c r="H202" i="20"/>
  <c r="H134" i="20"/>
  <c r="J35" i="20"/>
  <c r="H179" i="20"/>
  <c r="G36" i="20"/>
  <c r="I188" i="25"/>
  <c r="C155" i="25"/>
  <c r="G249" i="25"/>
  <c r="G169" i="20"/>
  <c r="I170" i="20"/>
  <c r="I146" i="25"/>
  <c r="G162" i="20"/>
  <c r="G100" i="20"/>
  <c r="C141" i="25"/>
  <c r="G83" i="20"/>
  <c r="G182" i="25"/>
  <c r="I178" i="25"/>
  <c r="G86" i="20"/>
  <c r="I148" i="25"/>
  <c r="I88" i="20"/>
  <c r="C180" i="25"/>
  <c r="C187" i="25"/>
  <c r="G195" i="25"/>
  <c r="G161" i="25"/>
  <c r="C198" i="25"/>
  <c r="G210" i="25"/>
  <c r="C159" i="25"/>
  <c r="C255" i="25"/>
  <c r="G218" i="25"/>
  <c r="G238" i="25"/>
  <c r="G232" i="20"/>
  <c r="I218" i="25"/>
  <c r="C258" i="25"/>
  <c r="C220" i="25"/>
  <c r="G128" i="20"/>
  <c r="I313" i="20"/>
  <c r="I231" i="20"/>
  <c r="G163" i="25"/>
  <c r="C246" i="25"/>
  <c r="C222" i="25"/>
  <c r="I240" i="25"/>
  <c r="G167" i="20"/>
  <c r="G205" i="20"/>
  <c r="H96" i="20"/>
  <c r="J113" i="20"/>
  <c r="J66" i="20"/>
  <c r="G210" i="20"/>
  <c r="J230" i="20"/>
  <c r="H59" i="20"/>
  <c r="J219" i="20"/>
  <c r="J44" i="20"/>
  <c r="C201" i="25"/>
  <c r="C194" i="25"/>
  <c r="C237" i="25"/>
  <c r="I49" i="20"/>
  <c r="I166" i="20"/>
  <c r="G138" i="25"/>
  <c r="I108" i="20"/>
  <c r="I205" i="25"/>
  <c r="C171" i="25"/>
  <c r="G106" i="20"/>
  <c r="C185" i="25"/>
  <c r="I166" i="25"/>
  <c r="C167" i="25"/>
  <c r="G140" i="25"/>
  <c r="G113" i="20"/>
  <c r="I183" i="25"/>
  <c r="I80" i="20"/>
  <c r="C195" i="25"/>
  <c r="I195" i="25"/>
  <c r="G160" i="20"/>
  <c r="G141" i="20"/>
  <c r="I223" i="25"/>
  <c r="G256" i="25"/>
  <c r="C221" i="25"/>
  <c r="C241" i="25"/>
  <c r="I222" i="25"/>
  <c r="G259" i="25"/>
  <c r="C224" i="25"/>
  <c r="I154" i="25"/>
  <c r="G66" i="20"/>
  <c r="I235" i="20"/>
  <c r="C143" i="25"/>
  <c r="I258" i="25"/>
  <c r="G39" i="20"/>
  <c r="I199" i="20"/>
  <c r="J128" i="20"/>
  <c r="H121" i="20"/>
  <c r="I90" i="20"/>
  <c r="G234" i="20"/>
  <c r="H306" i="20"/>
  <c r="H230" i="20"/>
  <c r="J67" i="20"/>
  <c r="H219" i="20"/>
  <c r="J84" i="20"/>
  <c r="G81" i="20"/>
  <c r="C197" i="25"/>
  <c r="G252" i="25"/>
  <c r="G201" i="25"/>
  <c r="I162" i="20"/>
  <c r="I202" i="25"/>
  <c r="G171" i="25"/>
  <c r="G205" i="25"/>
  <c r="G102" i="20"/>
  <c r="G91" i="20"/>
  <c r="G166" i="25"/>
  <c r="G126" i="20"/>
  <c r="I83" i="20"/>
  <c r="G168" i="25"/>
  <c r="C178" i="25"/>
  <c r="I112" i="20"/>
  <c r="G157" i="20"/>
  <c r="I157" i="20"/>
  <c r="G68" i="20"/>
  <c r="I215" i="25"/>
  <c r="I227" i="25"/>
  <c r="C259" i="25"/>
  <c r="G222" i="25"/>
  <c r="G242" i="25"/>
  <c r="G236" i="20"/>
  <c r="I226" i="25"/>
  <c r="I228" i="20"/>
  <c r="C219" i="25"/>
  <c r="G190" i="25"/>
  <c r="G70" i="20"/>
  <c r="G37" i="20"/>
  <c r="I70" i="20"/>
  <c r="C218" i="25"/>
  <c r="C230" i="25"/>
  <c r="G47" i="20"/>
  <c r="H199" i="20"/>
  <c r="I128" i="20"/>
  <c r="J161" i="20"/>
  <c r="J305" i="20"/>
  <c r="H90" i="20"/>
  <c r="J234" i="20"/>
  <c r="H141" i="20"/>
  <c r="H91" i="20"/>
  <c r="H84" i="20"/>
  <c r="I174" i="20"/>
  <c r="G87" i="20"/>
  <c r="I77" i="20"/>
  <c r="G191" i="25"/>
  <c r="I156" i="25"/>
  <c r="I159" i="25"/>
  <c r="I47" i="20"/>
  <c r="G206" i="25"/>
  <c r="C200" i="25"/>
  <c r="G111" i="20"/>
  <c r="I100" i="20"/>
  <c r="I167" i="20"/>
  <c r="G139" i="25"/>
  <c r="G200" i="25"/>
  <c r="G98" i="20"/>
  <c r="C169" i="25"/>
  <c r="C168" i="25"/>
  <c r="I91" i="20"/>
  <c r="I165" i="25"/>
  <c r="G93" i="20"/>
  <c r="C182" i="25"/>
  <c r="C211" i="25"/>
  <c r="G161" i="20"/>
  <c r="C210" i="25"/>
  <c r="C163" i="25"/>
  <c r="G215" i="25"/>
  <c r="G145" i="20"/>
  <c r="C196" i="25"/>
  <c r="I231" i="25"/>
  <c r="I229" i="20"/>
  <c r="C225" i="25"/>
  <c r="C245" i="25"/>
  <c r="G143" i="20"/>
  <c r="I230" i="25"/>
  <c r="I232" i="20"/>
  <c r="G208" i="25"/>
  <c r="I146" i="20"/>
  <c r="I131" i="20"/>
  <c r="I71" i="20"/>
  <c r="G231" i="20"/>
  <c r="H152" i="20"/>
  <c r="H177" i="20"/>
  <c r="H114" i="20"/>
  <c r="J141" i="20"/>
  <c r="J99" i="20"/>
  <c r="J140" i="20"/>
  <c r="C181" i="25"/>
  <c r="C216" i="25"/>
  <c r="C158" i="25"/>
  <c r="G198" i="25"/>
  <c r="I42" i="20"/>
  <c r="C172" i="25"/>
  <c r="C205" i="25"/>
  <c r="G174" i="20"/>
  <c r="I171" i="25"/>
  <c r="I163" i="20"/>
  <c r="C138" i="25"/>
  <c r="C148" i="25"/>
  <c r="G141" i="25"/>
  <c r="G95" i="20"/>
  <c r="I175" i="25"/>
  <c r="G130" i="20"/>
  <c r="I95" i="20"/>
  <c r="G169" i="25"/>
  <c r="G85" i="20"/>
  <c r="C213" i="25"/>
  <c r="C161" i="25"/>
  <c r="G213" i="25"/>
  <c r="I213" i="25"/>
  <c r="G72" i="20"/>
  <c r="I161" i="25"/>
  <c r="G139" i="20"/>
  <c r="I235" i="25"/>
  <c r="I233" i="20"/>
  <c r="G226" i="25"/>
  <c r="G246" i="25"/>
  <c r="G197" i="25"/>
  <c r="I234" i="25"/>
  <c r="I236" i="20"/>
  <c r="C256" i="25"/>
  <c r="C227" i="25"/>
  <c r="G88" i="20"/>
  <c r="J79" i="20"/>
  <c r="J160" i="20"/>
  <c r="H217" i="20"/>
  <c r="G122" i="20"/>
  <c r="G229" i="20"/>
  <c r="J38" i="20"/>
  <c r="I123" i="20"/>
  <c r="I307" i="20"/>
  <c r="H140" i="20"/>
  <c r="C209" i="25"/>
  <c r="G255" i="25"/>
  <c r="I104" i="20"/>
  <c r="C202" i="25"/>
  <c r="C140" i="25"/>
  <c r="G149" i="25"/>
  <c r="G107" i="20"/>
  <c r="C204" i="25"/>
  <c r="G54" i="20"/>
  <c r="G136" i="25"/>
  <c r="C137" i="25"/>
  <c r="I182" i="25"/>
  <c r="C174" i="25"/>
  <c r="C188" i="25"/>
  <c r="G105" i="20"/>
  <c r="I177" i="25"/>
  <c r="C179" i="25"/>
  <c r="I113" i="20"/>
  <c r="I174" i="25"/>
  <c r="G162" i="25"/>
  <c r="G185" i="20"/>
  <c r="I185" i="20"/>
  <c r="I68" i="20"/>
  <c r="G149" i="20"/>
  <c r="I196" i="25"/>
  <c r="I239" i="25"/>
  <c r="I237" i="20"/>
  <c r="K237" i="20" s="1"/>
  <c r="C229" i="25"/>
  <c r="I248" i="25"/>
  <c r="I214" i="25"/>
  <c r="I238" i="25"/>
  <c r="G193" i="25"/>
  <c r="C240" i="25"/>
  <c r="C231" i="25"/>
  <c r="I310" i="20"/>
  <c r="I136" i="20"/>
  <c r="H103" i="20"/>
  <c r="J29" i="20"/>
  <c r="H190" i="20"/>
  <c r="H184" i="20"/>
  <c r="J217" i="20"/>
  <c r="G146" i="20"/>
  <c r="H38" i="20"/>
  <c r="H123" i="20"/>
  <c r="H307" i="20"/>
  <c r="F77" i="12"/>
  <c r="F66" i="12"/>
  <c r="F55" i="12"/>
  <c r="F45" i="12"/>
  <c r="F35" i="12"/>
  <c r="F24" i="12"/>
  <c r="F33" i="11"/>
  <c r="F23" i="11"/>
  <c r="F69" i="10"/>
  <c r="F57" i="10"/>
  <c r="F46" i="10"/>
  <c r="F36" i="10"/>
  <c r="F25" i="10"/>
  <c r="F58" i="9"/>
  <c r="F48" i="9"/>
  <c r="F37" i="9"/>
  <c r="F27" i="9"/>
  <c r="F66" i="8"/>
  <c r="F56" i="8"/>
  <c r="F45" i="8"/>
  <c r="F34" i="8"/>
  <c r="F23" i="8"/>
  <c r="F258" i="25"/>
  <c r="J254" i="25"/>
  <c r="H251" i="25"/>
  <c r="F248" i="25"/>
  <c r="J243" i="25"/>
  <c r="H240" i="25"/>
  <c r="F237" i="25"/>
  <c r="J233" i="25"/>
  <c r="H230" i="25"/>
  <c r="F227" i="25"/>
  <c r="J223" i="25"/>
  <c r="H220" i="25"/>
  <c r="F216" i="25"/>
  <c r="J211" i="25"/>
  <c r="H208" i="25"/>
  <c r="F204" i="25"/>
  <c r="J200" i="25"/>
  <c r="H196" i="25"/>
  <c r="F193" i="25"/>
  <c r="J187" i="25"/>
  <c r="H184" i="25"/>
  <c r="F181" i="25"/>
  <c r="J177" i="25"/>
  <c r="H174" i="25"/>
  <c r="F169" i="25"/>
  <c r="J165" i="25"/>
  <c r="H161" i="25"/>
  <c r="F157" i="25"/>
  <c r="J153" i="25"/>
  <c r="H149" i="25"/>
  <c r="F146" i="25"/>
  <c r="J140" i="25"/>
  <c r="H137" i="25"/>
  <c r="F60" i="10"/>
  <c r="F20" i="9"/>
  <c r="J255" i="25"/>
  <c r="J213" i="25"/>
  <c r="J178" i="25"/>
  <c r="H151" i="25"/>
  <c r="F68" i="12"/>
  <c r="F25" i="11"/>
  <c r="F50" i="9"/>
  <c r="F25" i="8"/>
  <c r="J248" i="25"/>
  <c r="H213" i="25"/>
  <c r="F185" i="25"/>
  <c r="J157" i="25"/>
  <c r="F76" i="12"/>
  <c r="F65" i="12"/>
  <c r="F54" i="12"/>
  <c r="F44" i="12"/>
  <c r="F34" i="12"/>
  <c r="F23" i="12"/>
  <c r="F32" i="11"/>
  <c r="F22" i="11"/>
  <c r="F67" i="10"/>
  <c r="F56" i="10"/>
  <c r="F45" i="10"/>
  <c r="F35" i="10"/>
  <c r="F24" i="10"/>
  <c r="F57" i="9"/>
  <c r="F47" i="9"/>
  <c r="F36" i="9"/>
  <c r="F26" i="9"/>
  <c r="F65" i="8"/>
  <c r="F55" i="8"/>
  <c r="F44" i="8"/>
  <c r="F33" i="8"/>
  <c r="F22" i="8"/>
  <c r="J257" i="25"/>
  <c r="H254" i="25"/>
  <c r="F251" i="25"/>
  <c r="J246" i="25"/>
  <c r="H243" i="25"/>
  <c r="F240" i="25"/>
  <c r="J236" i="25"/>
  <c r="H233" i="25"/>
  <c r="F230" i="25"/>
  <c r="J226" i="25"/>
  <c r="H223" i="25"/>
  <c r="F220" i="25"/>
  <c r="J215" i="25"/>
  <c r="H211" i="25"/>
  <c r="F208" i="25"/>
  <c r="J203" i="25"/>
  <c r="H200" i="25"/>
  <c r="F196" i="25"/>
  <c r="J191" i="25"/>
  <c r="H187" i="25"/>
  <c r="F184" i="25"/>
  <c r="J180" i="25"/>
  <c r="H177" i="25"/>
  <c r="F174" i="25"/>
  <c r="J168" i="25"/>
  <c r="H165" i="25"/>
  <c r="F161" i="25"/>
  <c r="J156" i="25"/>
  <c r="H153" i="25"/>
  <c r="F149" i="25"/>
  <c r="J144" i="25"/>
  <c r="H140" i="25"/>
  <c r="F137" i="25"/>
  <c r="F48" i="12"/>
  <c r="F28" i="10"/>
  <c r="F48" i="8"/>
  <c r="J234" i="25"/>
  <c r="H197" i="25"/>
  <c r="F171" i="25"/>
  <c r="J141" i="25"/>
  <c r="F79" i="12"/>
  <c r="F59" i="10"/>
  <c r="F40" i="9"/>
  <c r="F252" i="25"/>
  <c r="J216" i="25"/>
  <c r="H188" i="25"/>
  <c r="H154" i="25"/>
  <c r="F85" i="12"/>
  <c r="F74" i="12"/>
  <c r="F64" i="12"/>
  <c r="F53" i="12"/>
  <c r="F43" i="12"/>
  <c r="F33" i="12"/>
  <c r="F31" i="11"/>
  <c r="F21" i="11"/>
  <c r="F66" i="10"/>
  <c r="F55" i="10"/>
  <c r="F44" i="10"/>
  <c r="F33" i="10"/>
  <c r="F23" i="10"/>
  <c r="F56" i="9"/>
  <c r="F46" i="9"/>
  <c r="F35" i="9"/>
  <c r="F25" i="9"/>
  <c r="F64" i="8"/>
  <c r="F54" i="8"/>
  <c r="F43" i="8"/>
  <c r="F32" i="8"/>
  <c r="H257" i="25"/>
  <c r="F254" i="25"/>
  <c r="J250" i="25"/>
  <c r="H246" i="25"/>
  <c r="F243" i="25"/>
  <c r="J239" i="25"/>
  <c r="H236" i="25"/>
  <c r="F233" i="25"/>
  <c r="J229" i="25"/>
  <c r="H226" i="25"/>
  <c r="F223" i="25"/>
  <c r="J219" i="25"/>
  <c r="H215" i="25"/>
  <c r="F211" i="25"/>
  <c r="J206" i="25"/>
  <c r="H203" i="25"/>
  <c r="F200" i="25"/>
  <c r="J195" i="25"/>
  <c r="H191" i="25"/>
  <c r="F187" i="25"/>
  <c r="J183" i="25"/>
  <c r="H180" i="25"/>
  <c r="F177" i="25"/>
  <c r="J172" i="25"/>
  <c r="H168" i="25"/>
  <c r="F165" i="25"/>
  <c r="J159" i="25"/>
  <c r="H156" i="25"/>
  <c r="F153" i="25"/>
  <c r="J148" i="25"/>
  <c r="H144" i="25"/>
  <c r="F140" i="25"/>
  <c r="J136" i="25"/>
  <c r="F69" i="12"/>
  <c r="F58" i="12"/>
  <c r="F26" i="11"/>
  <c r="F61" i="9"/>
  <c r="F249" i="25"/>
  <c r="F228" i="25"/>
  <c r="H209" i="25"/>
  <c r="F182" i="25"/>
  <c r="J154" i="25"/>
  <c r="F57" i="12"/>
  <c r="F35" i="11"/>
  <c r="F60" i="9"/>
  <c r="F37" i="8"/>
  <c r="H244" i="25"/>
  <c r="J227" i="25"/>
  <c r="H201" i="25"/>
  <c r="H178" i="25"/>
  <c r="F162" i="25"/>
  <c r="F138" i="25"/>
  <c r="F84" i="12"/>
  <c r="F73" i="12"/>
  <c r="F63" i="12"/>
  <c r="F52" i="12"/>
  <c r="F42" i="12"/>
  <c r="F31" i="12"/>
  <c r="F30" i="11"/>
  <c r="F20" i="11"/>
  <c r="F65" i="10"/>
  <c r="F54" i="10"/>
  <c r="F43" i="10"/>
  <c r="F32" i="10"/>
  <c r="F22" i="10"/>
  <c r="F55" i="9"/>
  <c r="F45" i="9"/>
  <c r="F34" i="9"/>
  <c r="F24" i="9"/>
  <c r="F63" i="8"/>
  <c r="F53" i="8"/>
  <c r="F42" i="8"/>
  <c r="F31" i="8"/>
  <c r="F257" i="25"/>
  <c r="J253" i="25"/>
  <c r="H250" i="25"/>
  <c r="F246" i="25"/>
  <c r="J242" i="25"/>
  <c r="H239" i="25"/>
  <c r="F236" i="25"/>
  <c r="J232" i="25"/>
  <c r="H229" i="25"/>
  <c r="F226" i="25"/>
  <c r="J222" i="25"/>
  <c r="H219" i="25"/>
  <c r="F215" i="25"/>
  <c r="J210" i="25"/>
  <c r="H206" i="25"/>
  <c r="F203" i="25"/>
  <c r="J198" i="25"/>
  <c r="H195" i="25"/>
  <c r="F191" i="25"/>
  <c r="J186" i="25"/>
  <c r="H183" i="25"/>
  <c r="F180" i="25"/>
  <c r="J176" i="25"/>
  <c r="H172" i="25"/>
  <c r="F168" i="25"/>
  <c r="J163" i="25"/>
  <c r="H159" i="25"/>
  <c r="F156" i="25"/>
  <c r="J152" i="25"/>
  <c r="H148" i="25"/>
  <c r="F144" i="25"/>
  <c r="J139" i="25"/>
  <c r="H136" i="25"/>
  <c r="F80" i="12"/>
  <c r="F38" i="12"/>
  <c r="F49" i="10"/>
  <c r="F41" i="9"/>
  <c r="F26" i="8"/>
  <c r="H252" i="25"/>
  <c r="J224" i="25"/>
  <c r="F205" i="25"/>
  <c r="H185" i="25"/>
  <c r="F158" i="25"/>
  <c r="F26" i="12"/>
  <c r="F27" i="10"/>
  <c r="F47" i="8"/>
  <c r="J258" i="25"/>
  <c r="H234" i="25"/>
  <c r="F209" i="25"/>
  <c r="J181" i="25"/>
  <c r="J146" i="25"/>
  <c r="F83" i="12"/>
  <c r="F72" i="12"/>
  <c r="F61" i="12"/>
  <c r="F51" i="12"/>
  <c r="F41" i="12"/>
  <c r="F30" i="12"/>
  <c r="F29" i="11"/>
  <c r="F64" i="10"/>
  <c r="F53" i="10"/>
  <c r="F42" i="10"/>
  <c r="F31" i="10"/>
  <c r="F21" i="10"/>
  <c r="F54" i="9"/>
  <c r="F44" i="9"/>
  <c r="F33" i="9"/>
  <c r="F23" i="9"/>
  <c r="F62" i="8"/>
  <c r="F51" i="8"/>
  <c r="F41" i="8"/>
  <c r="F30" i="8"/>
  <c r="J256" i="25"/>
  <c r="H253" i="25"/>
  <c r="F250" i="25"/>
  <c r="J245" i="25"/>
  <c r="H242" i="25"/>
  <c r="F239" i="25"/>
  <c r="J235" i="25"/>
  <c r="H232" i="25"/>
  <c r="F229" i="25"/>
  <c r="J225" i="25"/>
  <c r="H222" i="25"/>
  <c r="F219" i="25"/>
  <c r="J214" i="25"/>
  <c r="H210" i="25"/>
  <c r="F206" i="25"/>
  <c r="J202" i="25"/>
  <c r="H198" i="25"/>
  <c r="F195" i="25"/>
  <c r="J190" i="25"/>
  <c r="H186" i="25"/>
  <c r="F183" i="25"/>
  <c r="J179" i="25"/>
  <c r="H176" i="25"/>
  <c r="F172" i="25"/>
  <c r="J167" i="25"/>
  <c r="H163" i="25"/>
  <c r="F159" i="25"/>
  <c r="J155" i="25"/>
  <c r="H152" i="25"/>
  <c r="F148" i="25"/>
  <c r="J143" i="25"/>
  <c r="H139" i="25"/>
  <c r="F136" i="25"/>
  <c r="F36" i="11"/>
  <c r="F51" i="9"/>
  <c r="F38" i="8"/>
  <c r="J244" i="25"/>
  <c r="H231" i="25"/>
  <c r="F218" i="25"/>
  <c r="J188" i="25"/>
  <c r="J166" i="25"/>
  <c r="H138" i="25"/>
  <c r="F47" i="12"/>
  <c r="F38" i="10"/>
  <c r="F58" i="8"/>
  <c r="J237" i="25"/>
  <c r="H224" i="25"/>
  <c r="F197" i="25"/>
  <c r="F175" i="25"/>
  <c r="F151" i="25"/>
  <c r="F82" i="12"/>
  <c r="F71" i="12"/>
  <c r="F60" i="12"/>
  <c r="F50" i="12"/>
  <c r="F40" i="12"/>
  <c r="F29" i="12"/>
  <c r="F28" i="11"/>
  <c r="F74" i="10"/>
  <c r="F62" i="10"/>
  <c r="F52" i="10"/>
  <c r="F41" i="10"/>
  <c r="F30" i="10"/>
  <c r="F20" i="10"/>
  <c r="F53" i="9"/>
  <c r="F43" i="9"/>
  <c r="F32" i="9"/>
  <c r="F22" i="9"/>
  <c r="F61" i="8"/>
  <c r="F50" i="8"/>
  <c r="F40" i="8"/>
  <c r="F28" i="8"/>
  <c r="J259" i="25"/>
  <c r="H256" i="25"/>
  <c r="F253" i="25"/>
  <c r="J249" i="25"/>
  <c r="H245" i="25"/>
  <c r="F242" i="25"/>
  <c r="J238" i="25"/>
  <c r="H235" i="25"/>
  <c r="F232" i="25"/>
  <c r="J228" i="25"/>
  <c r="H225" i="25"/>
  <c r="F222" i="25"/>
  <c r="J218" i="25"/>
  <c r="H214" i="25"/>
  <c r="F210" i="25"/>
  <c r="J205" i="25"/>
  <c r="H202" i="25"/>
  <c r="F198" i="25"/>
  <c r="J194" i="25"/>
  <c r="H190" i="25"/>
  <c r="F186" i="25"/>
  <c r="J182" i="25"/>
  <c r="H179" i="25"/>
  <c r="F176" i="25"/>
  <c r="J171" i="25"/>
  <c r="H167" i="25"/>
  <c r="F163" i="25"/>
  <c r="J158" i="25"/>
  <c r="H155" i="25"/>
  <c r="F152" i="25"/>
  <c r="J147" i="25"/>
  <c r="H143" i="25"/>
  <c r="F139" i="25"/>
  <c r="F27" i="12"/>
  <c r="F39" i="10"/>
  <c r="F59" i="8"/>
  <c r="F259" i="25"/>
  <c r="F238" i="25"/>
  <c r="H221" i="25"/>
  <c r="F194" i="25"/>
  <c r="H162" i="25"/>
  <c r="F37" i="12"/>
  <c r="F48" i="10"/>
  <c r="H255" i="25"/>
  <c r="F231" i="25"/>
  <c r="J204" i="25"/>
  <c r="J169" i="25"/>
  <c r="H141" i="25"/>
  <c r="F81" i="12"/>
  <c r="F70" i="12"/>
  <c r="F59" i="12"/>
  <c r="F49" i="12"/>
  <c r="F39" i="12"/>
  <c r="F28" i="12"/>
  <c r="F37" i="11"/>
  <c r="F27" i="11"/>
  <c r="F73" i="10"/>
  <c r="F61" i="10"/>
  <c r="F50" i="10"/>
  <c r="F40" i="10"/>
  <c r="F29" i="10"/>
  <c r="F52" i="9"/>
  <c r="F42" i="9"/>
  <c r="F31" i="9"/>
  <c r="F21" i="9"/>
  <c r="F60" i="8"/>
  <c r="F49" i="8"/>
  <c r="F39" i="8"/>
  <c r="F27" i="8"/>
  <c r="H259" i="25"/>
  <c r="F256" i="25"/>
  <c r="J252" i="25"/>
  <c r="H249" i="25"/>
  <c r="F245" i="25"/>
  <c r="J241" i="25"/>
  <c r="H238" i="25"/>
  <c r="F235" i="25"/>
  <c r="J231" i="25"/>
  <c r="H228" i="25"/>
  <c r="F225" i="25"/>
  <c r="J221" i="25"/>
  <c r="H218" i="25"/>
  <c r="F214" i="25"/>
  <c r="J209" i="25"/>
  <c r="H205" i="25"/>
  <c r="F202" i="25"/>
  <c r="J197" i="25"/>
  <c r="H194" i="25"/>
  <c r="F190" i="25"/>
  <c r="J185" i="25"/>
  <c r="H182" i="25"/>
  <c r="F179" i="25"/>
  <c r="J175" i="25"/>
  <c r="H171" i="25"/>
  <c r="F167" i="25"/>
  <c r="J162" i="25"/>
  <c r="H158" i="25"/>
  <c r="F155" i="25"/>
  <c r="J151" i="25"/>
  <c r="H147" i="25"/>
  <c r="F143" i="25"/>
  <c r="J138" i="25"/>
  <c r="F72" i="10"/>
  <c r="F30" i="9"/>
  <c r="H241" i="25"/>
  <c r="J201" i="25"/>
  <c r="H175" i="25"/>
  <c r="F147" i="25"/>
  <c r="F71" i="10"/>
  <c r="F29" i="9"/>
  <c r="F241" i="25"/>
  <c r="F221" i="25"/>
  <c r="J193" i="25"/>
  <c r="H166" i="25"/>
  <c r="F24" i="8"/>
  <c r="H248" i="25"/>
  <c r="F213" i="25"/>
  <c r="J174" i="25"/>
  <c r="F244" i="25"/>
  <c r="J208" i="25"/>
  <c r="H169" i="25"/>
  <c r="F34" i="11"/>
  <c r="H204" i="25"/>
  <c r="H193" i="25"/>
  <c r="F188" i="25"/>
  <c r="F47" i="10"/>
  <c r="F224" i="25"/>
  <c r="F59" i="9"/>
  <c r="F78" i="12"/>
  <c r="F49" i="9"/>
  <c r="J240" i="25"/>
  <c r="F154" i="25"/>
  <c r="H227" i="25"/>
  <c r="F57" i="8"/>
  <c r="H146" i="25"/>
  <c r="F141" i="25"/>
  <c r="F166" i="25"/>
  <c r="F67" i="8"/>
  <c r="J184" i="25"/>
  <c r="F255" i="25"/>
  <c r="F67" i="12"/>
  <c r="F24" i="11"/>
  <c r="F39" i="9"/>
  <c r="H237" i="25"/>
  <c r="F201" i="25"/>
  <c r="J161" i="25"/>
  <c r="F28" i="9"/>
  <c r="F234" i="25"/>
  <c r="J196" i="25"/>
  <c r="J230" i="25"/>
  <c r="J149" i="25"/>
  <c r="F46" i="8"/>
  <c r="H181" i="25"/>
  <c r="F56" i="12"/>
  <c r="H157" i="25"/>
  <c r="F70" i="10"/>
  <c r="J220" i="25"/>
  <c r="F46" i="12"/>
  <c r="F37" i="10"/>
  <c r="F36" i="12"/>
  <c r="F58" i="10"/>
  <c r="F25" i="12"/>
  <c r="H258" i="25"/>
  <c r="F26" i="10"/>
  <c r="F36" i="8"/>
  <c r="J251" i="25"/>
  <c r="H216" i="25"/>
  <c r="F178" i="25"/>
  <c r="J137" i="25"/>
  <c r="E191" i="25"/>
  <c r="E190" i="25"/>
  <c r="I253" i="25"/>
  <c r="G184" i="25"/>
  <c r="G174" i="25"/>
  <c r="G250" i="25"/>
  <c r="I249" i="25"/>
  <c r="G177" i="25"/>
  <c r="H62" i="20"/>
  <c r="G213" i="20"/>
  <c r="H93" i="20"/>
  <c r="G188" i="20"/>
  <c r="H108" i="20"/>
  <c r="I222" i="20"/>
  <c r="H126" i="20"/>
  <c r="H30" i="20"/>
  <c r="J149" i="20"/>
  <c r="H308" i="20"/>
  <c r="J228" i="20"/>
  <c r="G180" i="20"/>
  <c r="H124" i="20"/>
  <c r="H68" i="20"/>
  <c r="J36" i="20"/>
  <c r="J211" i="20"/>
  <c r="G171" i="20"/>
  <c r="H147" i="20"/>
  <c r="H115" i="20"/>
  <c r="H83" i="20"/>
  <c r="H51" i="20"/>
  <c r="J27" i="20"/>
  <c r="H206" i="20"/>
  <c r="H118" i="20"/>
  <c r="J78" i="20"/>
  <c r="H229" i="20"/>
  <c r="G109" i="20"/>
  <c r="J226" i="20"/>
  <c r="G202" i="20"/>
  <c r="J170" i="20"/>
  <c r="J138" i="20"/>
  <c r="G114" i="20"/>
  <c r="H82" i="20"/>
  <c r="H50" i="20"/>
  <c r="I26" i="20"/>
  <c r="G201" i="20"/>
  <c r="I161" i="20"/>
  <c r="J105" i="20"/>
  <c r="H73" i="20"/>
  <c r="H33" i="20"/>
  <c r="H304" i="20"/>
  <c r="J208" i="20"/>
  <c r="H176" i="20"/>
  <c r="H144" i="20"/>
  <c r="J120" i="20"/>
  <c r="J88" i="20"/>
  <c r="G48" i="20"/>
  <c r="G190" i="20"/>
  <c r="J181" i="20"/>
  <c r="J77" i="20"/>
  <c r="J185" i="20"/>
  <c r="J89" i="20"/>
  <c r="J231" i="20"/>
  <c r="H191" i="20"/>
  <c r="H159" i="20"/>
  <c r="H127" i="20"/>
  <c r="J103" i="20"/>
  <c r="J71" i="20"/>
  <c r="J39" i="20"/>
  <c r="I201" i="25"/>
  <c r="G232" i="25"/>
  <c r="I167" i="25"/>
  <c r="G240" i="25"/>
  <c r="G239" i="25"/>
  <c r="G181" i="25"/>
  <c r="G179" i="25"/>
  <c r="I147" i="25"/>
  <c r="G245" i="25"/>
  <c r="G244" i="25"/>
  <c r="J62" i="20"/>
  <c r="J213" i="20"/>
  <c r="I93" i="20"/>
  <c r="H172" i="20"/>
  <c r="J108" i="20"/>
  <c r="J222" i="20"/>
  <c r="J126" i="20"/>
  <c r="I30" i="20"/>
  <c r="G237" i="20"/>
  <c r="H149" i="20"/>
  <c r="H212" i="20"/>
  <c r="H164" i="20"/>
  <c r="J124" i="20"/>
  <c r="J68" i="20"/>
  <c r="H28" i="20"/>
  <c r="H203" i="20"/>
  <c r="H171" i="20"/>
  <c r="J147" i="20"/>
  <c r="J115" i="20"/>
  <c r="J83" i="20"/>
  <c r="J51" i="20"/>
  <c r="J206" i="20"/>
  <c r="J118" i="20"/>
  <c r="H54" i="20"/>
  <c r="G197" i="20"/>
  <c r="J109" i="20"/>
  <c r="G226" i="20"/>
  <c r="H194" i="20"/>
  <c r="H162" i="20"/>
  <c r="G138" i="20"/>
  <c r="H106" i="20"/>
  <c r="I82" i="20"/>
  <c r="I50" i="20"/>
  <c r="J26" i="20"/>
  <c r="J201" i="20"/>
  <c r="J145" i="20"/>
  <c r="H105" i="20"/>
  <c r="H65" i="20"/>
  <c r="J33" i="20"/>
  <c r="G208" i="20"/>
  <c r="I176" i="20"/>
  <c r="J144" i="20"/>
  <c r="G120" i="20"/>
  <c r="H80" i="20"/>
  <c r="H48" i="20"/>
  <c r="H309" i="20"/>
  <c r="H181" i="20"/>
  <c r="H77" i="20"/>
  <c r="H185" i="20"/>
  <c r="H89" i="20"/>
  <c r="H223" i="20"/>
  <c r="J191" i="20"/>
  <c r="I159" i="20"/>
  <c r="I127" i="20"/>
  <c r="H95" i="20"/>
  <c r="H63" i="20"/>
  <c r="I31" i="20"/>
  <c r="G307" i="20"/>
  <c r="I35" i="20"/>
  <c r="G214" i="25"/>
  <c r="I48" i="20"/>
  <c r="G32" i="20"/>
  <c r="I33" i="20"/>
  <c r="I46" i="20"/>
  <c r="I241" i="25"/>
  <c r="I179" i="25"/>
  <c r="I150" i="20"/>
  <c r="G305" i="20"/>
  <c r="G186" i="25"/>
  <c r="I158" i="25"/>
  <c r="G151" i="25"/>
  <c r="I251" i="25"/>
  <c r="G211" i="25"/>
  <c r="I149" i="25"/>
  <c r="G209" i="25"/>
  <c r="I172" i="25"/>
  <c r="G220" i="25"/>
  <c r="G229" i="25"/>
  <c r="I169" i="25"/>
  <c r="G235" i="25"/>
  <c r="G224" i="25"/>
  <c r="H214" i="20"/>
  <c r="H213" i="20"/>
  <c r="J85" i="20"/>
  <c r="I172" i="20"/>
  <c r="H92" i="20"/>
  <c r="H198" i="20"/>
  <c r="H110" i="20"/>
  <c r="J30" i="20"/>
  <c r="J237" i="20"/>
  <c r="J117" i="20"/>
  <c r="J212" i="20"/>
  <c r="I164" i="20"/>
  <c r="H116" i="20"/>
  <c r="G52" i="20"/>
  <c r="I28" i="20"/>
  <c r="G235" i="20"/>
  <c r="J203" i="20"/>
  <c r="J171" i="20"/>
  <c r="H139" i="20"/>
  <c r="H107" i="20"/>
  <c r="I75" i="20"/>
  <c r="G43" i="20"/>
  <c r="G206" i="20"/>
  <c r="G118" i="20"/>
  <c r="J54" i="20"/>
  <c r="J197" i="20"/>
  <c r="H109" i="20"/>
  <c r="H218" i="20"/>
  <c r="J194" i="20"/>
  <c r="J162" i="20"/>
  <c r="H130" i="20"/>
  <c r="I106" i="20"/>
  <c r="J82" i="20"/>
  <c r="J50" i="20"/>
  <c r="H201" i="20"/>
  <c r="H145" i="20"/>
  <c r="I105" i="20"/>
  <c r="J65" i="20"/>
  <c r="J25" i="20"/>
  <c r="H200" i="20"/>
  <c r="J176" i="20"/>
  <c r="G144" i="20"/>
  <c r="H112" i="20"/>
  <c r="J80" i="20"/>
  <c r="J48" i="20"/>
  <c r="J309" i="20"/>
  <c r="J157" i="20"/>
  <c r="I53" i="20"/>
  <c r="J169" i="20"/>
  <c r="I89" i="20"/>
  <c r="J223" i="20"/>
  <c r="H183" i="20"/>
  <c r="J159" i="20"/>
  <c r="J127" i="20"/>
  <c r="J95" i="20"/>
  <c r="J63" i="20"/>
  <c r="H31" i="20"/>
  <c r="G243" i="25"/>
  <c r="G241" i="25"/>
  <c r="G219" i="25"/>
  <c r="I163" i="25"/>
  <c r="G225" i="25"/>
  <c r="J214" i="20"/>
  <c r="J165" i="20"/>
  <c r="I85" i="20"/>
  <c r="H220" i="20"/>
  <c r="J172" i="20"/>
  <c r="I92" i="20"/>
  <c r="J198" i="20"/>
  <c r="I110" i="20"/>
  <c r="H237" i="20"/>
  <c r="I117" i="20"/>
  <c r="G212" i="20"/>
  <c r="J164" i="20"/>
  <c r="I116" i="20"/>
  <c r="H52" i="20"/>
  <c r="J28" i="20"/>
  <c r="H235" i="20"/>
  <c r="H195" i="20"/>
  <c r="G163" i="20"/>
  <c r="J139" i="20"/>
  <c r="I107" i="20"/>
  <c r="H75" i="20"/>
  <c r="H43" i="20"/>
  <c r="H182" i="20"/>
  <c r="H102" i="20"/>
  <c r="G46" i="20"/>
  <c r="H197" i="20"/>
  <c r="I61" i="20"/>
  <c r="J218" i="20"/>
  <c r="G194" i="20"/>
  <c r="H154" i="20"/>
  <c r="I130" i="20"/>
  <c r="J106" i="20"/>
  <c r="H74" i="20"/>
  <c r="G42" i="20"/>
  <c r="G193" i="20"/>
  <c r="J137" i="20"/>
  <c r="J97" i="20"/>
  <c r="J57" i="20"/>
  <c r="H25" i="20"/>
  <c r="H232" i="20"/>
  <c r="J200" i="20"/>
  <c r="H168" i="20"/>
  <c r="H136" i="20"/>
  <c r="J112" i="20"/>
  <c r="G80" i="20"/>
  <c r="G40" i="20"/>
  <c r="H157" i="20"/>
  <c r="H53" i="20"/>
  <c r="H169" i="20"/>
  <c r="H311" i="20"/>
  <c r="H215" i="20"/>
  <c r="I183" i="20"/>
  <c r="H151" i="20"/>
  <c r="H119" i="20"/>
  <c r="H87" i="20"/>
  <c r="J55" i="20"/>
  <c r="J31" i="20"/>
  <c r="G92" i="20"/>
  <c r="I43" i="20"/>
  <c r="G142" i="20"/>
  <c r="I40" i="20"/>
  <c r="I144" i="25"/>
  <c r="I233" i="25"/>
  <c r="I208" i="25"/>
  <c r="I304" i="20"/>
  <c r="I309" i="20"/>
  <c r="G153" i="25"/>
  <c r="I219" i="25"/>
  <c r="I209" i="25"/>
  <c r="I151" i="25"/>
  <c r="G223" i="25"/>
  <c r="G231" i="25"/>
  <c r="G228" i="25"/>
  <c r="G180" i="25"/>
  <c r="I257" i="25"/>
  <c r="I157" i="25"/>
  <c r="G214" i="20"/>
  <c r="I165" i="20"/>
  <c r="H85" i="20"/>
  <c r="J220" i="20"/>
  <c r="H148" i="20"/>
  <c r="J92" i="20"/>
  <c r="G198" i="20"/>
  <c r="J110" i="20"/>
  <c r="J221" i="20"/>
  <c r="H117" i="20"/>
  <c r="H196" i="20"/>
  <c r="H156" i="20"/>
  <c r="J116" i="20"/>
  <c r="J52" i="20"/>
  <c r="J235" i="20"/>
  <c r="J195" i="20"/>
  <c r="H163" i="20"/>
  <c r="G131" i="20"/>
  <c r="J107" i="20"/>
  <c r="J75" i="20"/>
  <c r="J43" i="20"/>
  <c r="J182" i="20"/>
  <c r="I102" i="20"/>
  <c r="H46" i="20"/>
  <c r="J173" i="20"/>
  <c r="H61" i="20"/>
  <c r="G218" i="20"/>
  <c r="H186" i="20"/>
  <c r="J154" i="20"/>
  <c r="J130" i="20"/>
  <c r="H98" i="20"/>
  <c r="I74" i="20"/>
  <c r="H42" i="20"/>
  <c r="G233" i="20"/>
  <c r="J193" i="20"/>
  <c r="H137" i="20"/>
  <c r="H97" i="20"/>
  <c r="H57" i="20"/>
  <c r="J232" i="20"/>
  <c r="G200" i="20"/>
  <c r="I168" i="20"/>
  <c r="J136" i="20"/>
  <c r="G112" i="20"/>
  <c r="H72" i="20"/>
  <c r="H40" i="20"/>
  <c r="G125" i="20"/>
  <c r="J53" i="20"/>
  <c r="J225" i="20"/>
  <c r="I169" i="20"/>
  <c r="H303" i="20"/>
  <c r="J215" i="20"/>
  <c r="J183" i="20"/>
  <c r="I151" i="20"/>
  <c r="J119" i="20"/>
  <c r="I87" i="20"/>
  <c r="H55" i="20"/>
  <c r="G183" i="20"/>
  <c r="I39" i="20"/>
  <c r="G67" i="20"/>
  <c r="I143" i="25"/>
  <c r="G45" i="20"/>
  <c r="I34" i="20"/>
  <c r="I230" i="20"/>
  <c r="I229" i="25"/>
  <c r="I148" i="20"/>
  <c r="I138" i="20"/>
  <c r="I305" i="20"/>
  <c r="G156" i="25"/>
  <c r="I158" i="20"/>
  <c r="I143" i="20"/>
  <c r="G251" i="25"/>
  <c r="G159" i="25"/>
  <c r="I176" i="25"/>
  <c r="G221" i="25"/>
  <c r="I141" i="25"/>
  <c r="I198" i="25"/>
  <c r="G236" i="25"/>
  <c r="G144" i="25"/>
  <c r="H174" i="20"/>
  <c r="H165" i="20"/>
  <c r="J45" i="20"/>
  <c r="H204" i="20"/>
  <c r="J148" i="20"/>
  <c r="H76" i="20"/>
  <c r="H166" i="20"/>
  <c r="H94" i="20"/>
  <c r="H221" i="20"/>
  <c r="H69" i="20"/>
  <c r="J196" i="20"/>
  <c r="J156" i="20"/>
  <c r="H100" i="20"/>
  <c r="G44" i="20"/>
  <c r="H227" i="20"/>
  <c r="H187" i="20"/>
  <c r="J163" i="20"/>
  <c r="H131" i="20"/>
  <c r="H99" i="20"/>
  <c r="I67" i="20"/>
  <c r="H35" i="20"/>
  <c r="H158" i="20"/>
  <c r="J102" i="20"/>
  <c r="J46" i="20"/>
  <c r="H173" i="20"/>
  <c r="J61" i="20"/>
  <c r="H210" i="20"/>
  <c r="J186" i="20"/>
  <c r="G154" i="20"/>
  <c r="H122" i="20"/>
  <c r="I98" i="20"/>
  <c r="J74" i="20"/>
  <c r="J42" i="20"/>
  <c r="J233" i="20"/>
  <c r="H193" i="20"/>
  <c r="G121" i="20"/>
  <c r="I97" i="20"/>
  <c r="H49" i="20"/>
  <c r="H224" i="20"/>
  <c r="H192" i="20"/>
  <c r="J168" i="20"/>
  <c r="G136" i="20"/>
  <c r="H104" i="20"/>
  <c r="J72" i="20"/>
  <c r="J40" i="20"/>
  <c r="J125" i="20"/>
  <c r="H37" i="20"/>
  <c r="H225" i="20"/>
  <c r="J153" i="20"/>
  <c r="J303" i="20"/>
  <c r="H207" i="20"/>
  <c r="H175" i="20"/>
  <c r="J151" i="20"/>
  <c r="H111" i="20"/>
  <c r="J87" i="20"/>
  <c r="H47" i="20"/>
  <c r="G75" i="20"/>
  <c r="I32" i="20"/>
  <c r="G254" i="25"/>
  <c r="I190" i="25"/>
  <c r="I244" i="25"/>
  <c r="I225" i="25"/>
  <c r="I145" i="20"/>
  <c r="I303" i="20"/>
  <c r="G253" i="25"/>
  <c r="G304" i="20"/>
  <c r="I323" i="20"/>
  <c r="I149" i="20"/>
  <c r="G101" i="20"/>
  <c r="I140" i="20"/>
  <c r="G185" i="25"/>
  <c r="I254" i="25"/>
  <c r="I200" i="25"/>
  <c r="G258" i="25"/>
  <c r="I140" i="25"/>
  <c r="I204" i="25"/>
  <c r="J174" i="20"/>
  <c r="G133" i="20"/>
  <c r="H45" i="20"/>
  <c r="J204" i="20"/>
  <c r="G148" i="20"/>
  <c r="J76" i="20"/>
  <c r="J166" i="20"/>
  <c r="I94" i="20"/>
  <c r="I221" i="20"/>
  <c r="J69" i="20"/>
  <c r="G196" i="20"/>
  <c r="G156" i="20"/>
  <c r="J100" i="20"/>
  <c r="H44" i="20"/>
  <c r="J227" i="20"/>
  <c r="J187" i="20"/>
  <c r="H155" i="20"/>
  <c r="J131" i="20"/>
  <c r="I99" i="20"/>
  <c r="H67" i="20"/>
  <c r="G35" i="20"/>
  <c r="J158" i="20"/>
  <c r="H86" i="20"/>
  <c r="G38" i="20"/>
  <c r="I173" i="20"/>
  <c r="J306" i="20"/>
  <c r="H234" i="20"/>
  <c r="J210" i="20"/>
  <c r="H178" i="20"/>
  <c r="H146" i="20"/>
  <c r="J122" i="20"/>
  <c r="J98" i="20"/>
  <c r="H66" i="20"/>
  <c r="G34" i="20"/>
  <c r="H305" i="20"/>
  <c r="H233" i="20"/>
  <c r="J177" i="20"/>
  <c r="J121" i="20"/>
  <c r="J81" i="20"/>
  <c r="J49" i="20"/>
  <c r="J224" i="20"/>
  <c r="J192" i="20"/>
  <c r="H160" i="20"/>
  <c r="H128" i="20"/>
  <c r="J104" i="20"/>
  <c r="H64" i="20"/>
  <c r="H32" i="20"/>
  <c r="H125" i="20"/>
  <c r="J37" i="20"/>
  <c r="I225" i="20"/>
  <c r="H153" i="20"/>
  <c r="J207" i="20"/>
  <c r="J175" i="20"/>
  <c r="H143" i="20"/>
  <c r="I111" i="20"/>
  <c r="H79" i="20"/>
  <c r="J47" i="20"/>
  <c r="I234" i="20"/>
  <c r="I144" i="20"/>
  <c r="I66" i="20"/>
  <c r="I228" i="25"/>
  <c r="I232" i="25"/>
  <c r="G308" i="20"/>
  <c r="I221" i="25"/>
  <c r="G74" i="20"/>
  <c r="G157" i="25"/>
  <c r="G318" i="20"/>
  <c r="I191" i="25"/>
  <c r="I246" i="25"/>
  <c r="G155" i="25"/>
  <c r="I168" i="25"/>
  <c r="G233" i="25"/>
  <c r="I206" i="25"/>
  <c r="G237" i="25"/>
  <c r="H142" i="20"/>
  <c r="J133" i="20"/>
  <c r="G204" i="20"/>
  <c r="H132" i="20"/>
  <c r="H60" i="20"/>
  <c r="H150" i="20"/>
  <c r="J94" i="20"/>
  <c r="I210" i="25"/>
  <c r="I137" i="25"/>
  <c r="I197" i="25"/>
  <c r="G187" i="25"/>
  <c r="G227" i="25"/>
  <c r="G202" i="25"/>
  <c r="I203" i="25"/>
  <c r="I142" i="20"/>
  <c r="H133" i="20"/>
  <c r="H188" i="20"/>
  <c r="J132" i="20"/>
  <c r="J60" i="20"/>
  <c r="J150" i="20"/>
  <c r="H70" i="20"/>
  <c r="G196" i="25"/>
  <c r="I138" i="25"/>
  <c r="G188" i="25"/>
  <c r="G143" i="25"/>
  <c r="I193" i="25"/>
  <c r="G148" i="25"/>
  <c r="I186" i="25"/>
  <c r="J142" i="20"/>
  <c r="J93" i="20"/>
  <c r="J188" i="20"/>
  <c r="G132" i="20"/>
  <c r="H222" i="20"/>
  <c r="G150" i="20"/>
  <c r="J70" i="20"/>
  <c r="H189" i="20"/>
  <c r="J308" i="20"/>
  <c r="H228" i="20"/>
  <c r="J180" i="20"/>
  <c r="G140" i="20"/>
  <c r="G84" i="20"/>
  <c r="H36" i="20"/>
  <c r="J307" i="20"/>
  <c r="H211" i="20"/>
  <c r="J179" i="20"/>
  <c r="G147" i="20"/>
  <c r="J123" i="20"/>
  <c r="J91" i="20"/>
  <c r="J59" i="20"/>
  <c r="H27" i="20"/>
  <c r="G230" i="20"/>
  <c r="G134" i="20"/>
  <c r="H78" i="20"/>
  <c r="J229" i="20"/>
  <c r="I141" i="20"/>
  <c r="H226" i="20"/>
  <c r="J202" i="20"/>
  <c r="H170" i="20"/>
  <c r="H138" i="20"/>
  <c r="J114" i="20"/>
  <c r="J90" i="20"/>
  <c r="J58" i="20"/>
  <c r="H26" i="20"/>
  <c r="I217" i="20"/>
  <c r="H161" i="20"/>
  <c r="H113" i="20"/>
  <c r="J73" i="20"/>
  <c r="H41" i="20"/>
  <c r="J304" i="20"/>
  <c r="H208" i="20"/>
  <c r="J184" i="20"/>
  <c r="J152" i="20"/>
  <c r="H120" i="20"/>
  <c r="H88" i="20"/>
  <c r="J56" i="20"/>
  <c r="J190" i="20"/>
  <c r="H205" i="20"/>
  <c r="H101" i="20"/>
  <c r="H209" i="20"/>
  <c r="H129" i="20"/>
  <c r="H231" i="20"/>
  <c r="J199" i="20"/>
  <c r="J167" i="20"/>
  <c r="J135" i="20"/>
  <c r="I103" i="20"/>
  <c r="H71" i="20"/>
  <c r="H39" i="20"/>
  <c r="I224" i="25"/>
  <c r="I236" i="25"/>
  <c r="I41" i="20"/>
  <c r="G33" i="20"/>
  <c r="I250" i="25"/>
  <c r="G322" i="20"/>
  <c r="G176" i="25"/>
  <c r="G309" i="20"/>
  <c r="G158" i="20"/>
  <c r="G154" i="25"/>
  <c r="G170" i="20"/>
  <c r="C149" i="25"/>
  <c r="G108" i="20"/>
  <c r="G203" i="25"/>
  <c r="I126" i="20"/>
  <c r="G175" i="25"/>
  <c r="G137" i="25"/>
  <c r="G165" i="25"/>
  <c r="I181" i="25"/>
  <c r="C183" i="25"/>
  <c r="C176" i="25"/>
  <c r="C184" i="25"/>
  <c r="C208" i="25"/>
  <c r="I184" i="25"/>
  <c r="G69" i="20"/>
  <c r="I162" i="25"/>
  <c r="I84" i="20"/>
  <c r="G76" i="20"/>
  <c r="I72" i="20"/>
  <c r="I194" i="25"/>
  <c r="G216" i="25"/>
  <c r="I243" i="25"/>
  <c r="I139" i="20"/>
  <c r="G230" i="25"/>
  <c r="I252" i="25"/>
  <c r="C151" i="25"/>
  <c r="I242" i="25"/>
  <c r="I109" i="20"/>
  <c r="C244" i="25"/>
  <c r="C157" i="25"/>
  <c r="G116" i="20"/>
  <c r="I314" i="20"/>
  <c r="G49" i="20"/>
  <c r="I147" i="20"/>
  <c r="J111" i="20"/>
  <c r="J129" i="20"/>
  <c r="H29" i="20"/>
  <c r="J32" i="20"/>
  <c r="G192" i="20"/>
  <c r="G41" i="20"/>
  <c r="J146" i="20"/>
  <c r="J86" i="20"/>
  <c r="J155" i="20"/>
  <c r="H180" i="20"/>
  <c r="C223" i="25"/>
  <c r="I306" i="20"/>
  <c r="C228" i="25"/>
  <c r="C249" i="25"/>
  <c r="C235" i="25"/>
  <c r="C156" i="25"/>
  <c r="C190" i="25"/>
  <c r="C226" i="25"/>
  <c r="C238" i="25"/>
  <c r="C250" i="25"/>
  <c r="C232" i="25"/>
  <c r="C253" i="25"/>
  <c r="C239" i="25"/>
  <c r="C153" i="25"/>
  <c r="C144" i="25"/>
  <c r="C191" i="25"/>
  <c r="C234" i="25"/>
  <c r="E136" i="25"/>
  <c r="C236" i="25"/>
  <c r="C248" i="25"/>
  <c r="C257" i="25"/>
  <c r="C243" i="25"/>
  <c r="C252" i="25"/>
  <c r="C215" i="25"/>
  <c r="C139" i="25"/>
  <c r="D191" i="25"/>
  <c r="G327" i="20"/>
  <c r="H320" i="20"/>
  <c r="C242" i="25"/>
  <c r="G306" i="20"/>
  <c r="G316" i="20"/>
  <c r="I324" i="20"/>
  <c r="J313" i="20"/>
  <c r="H316" i="20"/>
  <c r="I318" i="20"/>
  <c r="I316" i="20"/>
  <c r="I321" i="20"/>
  <c r="G325" i="20"/>
  <c r="H325" i="20"/>
  <c r="G319" i="20"/>
  <c r="H321" i="20"/>
  <c r="J331" i="20"/>
  <c r="H331" i="20"/>
  <c r="J325" i="20"/>
  <c r="J320" i="20"/>
  <c r="G323" i="20"/>
  <c r="J323" i="20"/>
  <c r="I317" i="20"/>
  <c r="J319" i="20"/>
  <c r="H313" i="20"/>
  <c r="H328" i="20"/>
  <c r="J316" i="20"/>
  <c r="G310" i="20"/>
  <c r="I327" i="20"/>
  <c r="I312" i="20"/>
  <c r="I329" i="20"/>
  <c r="H319" i="20"/>
  <c r="J329" i="20"/>
  <c r="I328" i="20"/>
  <c r="H332" i="20"/>
  <c r="G326" i="20"/>
  <c r="I333" i="20"/>
  <c r="G320" i="20"/>
  <c r="J327" i="20"/>
  <c r="G329" i="20"/>
  <c r="J328" i="20"/>
  <c r="I332" i="20"/>
  <c r="G314" i="20"/>
  <c r="G331" i="20"/>
  <c r="G328" i="20"/>
  <c r="H327" i="20"/>
  <c r="H329" i="20"/>
  <c r="H326" i="20"/>
  <c r="J332" i="20"/>
  <c r="I315" i="20"/>
  <c r="I331" i="20"/>
  <c r="G332" i="20"/>
  <c r="J326" i="20"/>
  <c r="I319" i="20"/>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H314" i="20"/>
  <c r="J333" i="20"/>
  <c r="J324" i="20"/>
  <c r="J314" i="20"/>
  <c r="H333" i="20"/>
  <c r="H322" i="20"/>
  <c r="H318" i="20"/>
  <c r="I322" i="20"/>
  <c r="J322" i="20"/>
  <c r="G315" i="20"/>
  <c r="J318" i="20"/>
  <c r="I326" i="20"/>
  <c r="H330" i="20"/>
  <c r="J315" i="20"/>
  <c r="G312" i="20"/>
  <c r="I330" i="20"/>
  <c r="H315" i="20"/>
  <c r="G313" i="20"/>
  <c r="G330" i="20"/>
  <c r="I320" i="20"/>
  <c r="G311" i="20"/>
  <c r="I311" i="20"/>
  <c r="H312" i="20"/>
  <c r="G321" i="20"/>
  <c r="J330" i="20"/>
  <c r="J311" i="20"/>
  <c r="J312" i="20"/>
  <c r="J321" i="20"/>
  <c r="H323" i="20"/>
  <c r="I135" i="20"/>
  <c r="I120" i="20"/>
  <c r="I200" i="20"/>
  <c r="G224" i="20"/>
  <c r="I194" i="20"/>
  <c r="I38" i="20"/>
  <c r="G124" i="20"/>
  <c r="I181" i="20"/>
  <c r="I184" i="20"/>
  <c r="G25" i="20"/>
  <c r="I114" i="20"/>
  <c r="G51" i="20"/>
  <c r="I171" i="20"/>
  <c r="I60" i="20"/>
  <c r="G172" i="20"/>
  <c r="G71" i="20"/>
  <c r="I119" i="20"/>
  <c r="G15" i="20"/>
  <c r="I137" i="20"/>
  <c r="I58" i="20"/>
  <c r="I182" i="20"/>
  <c r="I215" i="20"/>
  <c r="G53" i="20"/>
  <c r="G176" i="20"/>
  <c r="I193" i="20"/>
  <c r="G90" i="20"/>
  <c r="I202" i="20"/>
  <c r="I203" i="20"/>
  <c r="G29" i="20"/>
  <c r="G96" i="20"/>
  <c r="I152" i="20"/>
  <c r="G57" i="20"/>
  <c r="I198" i="20"/>
  <c r="I216" i="20"/>
  <c r="G21" i="20"/>
  <c r="I62" i="20"/>
  <c r="I209" i="20"/>
  <c r="G186" i="20"/>
  <c r="I64" i="20"/>
  <c r="G55" i="20"/>
  <c r="I190" i="20"/>
  <c r="I96" i="20"/>
  <c r="I192" i="20"/>
  <c r="I208" i="20"/>
  <c r="I224" i="20"/>
  <c r="I122" i="20"/>
  <c r="I154" i="20"/>
  <c r="I186" i="20"/>
  <c r="I218" i="20"/>
  <c r="G61" i="20"/>
  <c r="I118" i="20"/>
  <c r="I206" i="20"/>
  <c r="G27" i="20"/>
  <c r="G59" i="20"/>
  <c r="I124" i="20"/>
  <c r="I212" i="20"/>
  <c r="I132" i="20"/>
  <c r="I204" i="20"/>
  <c r="I125" i="20"/>
  <c r="I22" i="20"/>
  <c r="I197" i="20"/>
  <c r="I187" i="20"/>
  <c r="I219" i="20"/>
  <c r="G22" i="20"/>
  <c r="I55" i="20"/>
  <c r="G119" i="20"/>
  <c r="G135" i="20"/>
  <c r="G151" i="20"/>
  <c r="G199" i="20"/>
  <c r="G215" i="20"/>
  <c r="G12" i="20"/>
  <c r="G181" i="20"/>
  <c r="I15" i="20"/>
  <c r="G64" i="20"/>
  <c r="I25" i="20"/>
  <c r="I57" i="20"/>
  <c r="G97" i="20"/>
  <c r="G137" i="20"/>
  <c r="G217" i="20"/>
  <c r="G58" i="20"/>
  <c r="I13" i="20"/>
  <c r="I59" i="20"/>
  <c r="G123" i="20"/>
  <c r="G155" i="20"/>
  <c r="G187" i="20"/>
  <c r="G203" i="20"/>
  <c r="G219" i="20"/>
  <c r="G28" i="20"/>
  <c r="G221" i="20"/>
  <c r="G60" i="20"/>
  <c r="G165" i="20"/>
  <c r="G62" i="20"/>
  <c r="G31" i="20"/>
  <c r="G63" i="20"/>
  <c r="I153" i="20"/>
  <c r="I205" i="20"/>
  <c r="G152" i="20"/>
  <c r="G184" i="20"/>
  <c r="G216" i="20"/>
  <c r="I121" i="20"/>
  <c r="I177" i="20"/>
  <c r="I201" i="20"/>
  <c r="G78" i="20"/>
  <c r="G182" i="20"/>
  <c r="G164" i="20"/>
  <c r="I189" i="20"/>
  <c r="G94" i="20"/>
  <c r="G222" i="20"/>
  <c r="G220" i="20"/>
  <c r="I14" i="20"/>
  <c r="I79" i="20"/>
  <c r="I175" i="20"/>
  <c r="I191" i="20"/>
  <c r="I207" i="20"/>
  <c r="I223" i="20"/>
  <c r="I56" i="20"/>
  <c r="I115" i="20"/>
  <c r="I195" i="20"/>
  <c r="I211" i="20"/>
  <c r="I227" i="20"/>
  <c r="I36" i="20"/>
  <c r="I52" i="20"/>
  <c r="I20" i="20"/>
  <c r="I133" i="20"/>
  <c r="I213" i="20"/>
  <c r="I188" i="20"/>
  <c r="I220" i="20"/>
  <c r="I214" i="20"/>
  <c r="G65" i="20"/>
  <c r="I178" i="20"/>
  <c r="I210" i="20"/>
  <c r="I226" i="20"/>
  <c r="I78" i="20"/>
  <c r="I134" i="20"/>
  <c r="I196" i="20"/>
  <c r="G14" i="20"/>
  <c r="I63" i="20"/>
  <c r="G79" i="20"/>
  <c r="G127" i="20"/>
  <c r="G159" i="20"/>
  <c r="G175" i="20"/>
  <c r="G191" i="20"/>
  <c r="G207" i="20"/>
  <c r="G223" i="20"/>
  <c r="G89" i="20"/>
  <c r="G153" i="20"/>
  <c r="G225" i="20"/>
  <c r="I29" i="20"/>
  <c r="G56" i="20"/>
  <c r="I65" i="20"/>
  <c r="G177" i="20"/>
  <c r="G50" i="20"/>
  <c r="G173" i="20"/>
  <c r="I21" i="20"/>
  <c r="I51" i="20"/>
  <c r="G115" i="20"/>
  <c r="G179" i="20"/>
  <c r="G195" i="20"/>
  <c r="G211" i="20"/>
  <c r="G227" i="20"/>
  <c r="G20" i="20"/>
  <c r="G117" i="20"/>
  <c r="G30" i="20"/>
  <c r="O10" i="20"/>
  <c r="O5" i="20"/>
  <c r="O7" i="20"/>
  <c r="O4" i="20"/>
  <c r="O8" i="20"/>
  <c r="O6" i="20"/>
  <c r="O9" i="20"/>
  <c r="O11"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M237" i="20"/>
  <c r="Q237" i="20" s="1"/>
  <c r="S237" i="20" s="1"/>
  <c r="F237" i="20"/>
  <c r="F294" i="20"/>
  <c r="L294" i="20" s="1"/>
  <c r="F281" i="20"/>
  <c r="L281" i="20" s="1"/>
  <c r="F292" i="20"/>
  <c r="F238" i="20"/>
  <c r="F284" i="20"/>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L249" i="20" s="1"/>
  <c r="F289" i="20"/>
  <c r="F244" i="20"/>
  <c r="L244" i="20" s="1"/>
  <c r="F268" i="20"/>
  <c r="L268" i="20" s="1"/>
  <c r="F288" i="20"/>
  <c r="F286" i="20"/>
  <c r="F260" i="20"/>
  <c r="L260" i="20" s="1"/>
  <c r="F279" i="20"/>
  <c r="F264" i="20"/>
  <c r="L264" i="20" s="1"/>
  <c r="F247" i="20"/>
  <c r="F242" i="20"/>
  <c r="L242" i="20" s="1"/>
  <c r="F239" i="20"/>
  <c r="F278" i="20"/>
  <c r="L278" i="20" s="1"/>
  <c r="F263" i="20"/>
  <c r="L263" i="20" s="1"/>
  <c r="F287" i="20"/>
  <c r="F267" i="20"/>
  <c r="L267" i="20" s="1"/>
  <c r="F271" i="20"/>
  <c r="L271" i="20" s="1"/>
  <c r="F253" i="20"/>
  <c r="L253" i="20" s="1"/>
  <c r="F250" i="20"/>
  <c r="L250" i="20" s="1"/>
  <c r="F285" i="20"/>
  <c r="F240" i="20"/>
  <c r="F293" i="20"/>
  <c r="F246" i="20"/>
  <c r="L246" i="20" s="1"/>
  <c r="F241" i="20"/>
  <c r="F245" i="20"/>
  <c r="L245" i="20" s="1"/>
  <c r="F248" i="20"/>
  <c r="L248" i="20" s="1"/>
  <c r="F295" i="20"/>
  <c r="L295" i="20" s="1"/>
  <c r="F277" i="20"/>
  <c r="L277" i="20" s="1"/>
  <c r="F280" i="20"/>
  <c r="L280" i="20" s="1"/>
  <c r="F282" i="20"/>
  <c r="F290" i="20"/>
  <c r="F258" i="20"/>
  <c r="L258" i="20" s="1"/>
  <c r="F251" i="20"/>
  <c r="L251" i="20" s="1"/>
  <c r="F261" i="20"/>
  <c r="L261" i="20" s="1"/>
  <c r="F256" i="20"/>
  <c r="L256" i="20" s="1"/>
  <c r="F254" i="20"/>
  <c r="L254" i="20" s="1"/>
  <c r="F269" i="20"/>
  <c r="F272" i="20"/>
  <c r="L272" i="20" s="1"/>
  <c r="F265" i="20"/>
  <c r="L265" i="20" s="1"/>
  <c r="F283" i="20"/>
  <c r="F275" i="20"/>
  <c r="L275" i="20" s="1"/>
  <c r="F291" i="20"/>
  <c r="F297" i="20"/>
  <c r="F301" i="20"/>
  <c r="L301" i="20" s="1"/>
  <c r="F302" i="20"/>
  <c r="F296" i="20"/>
  <c r="F298" i="20"/>
  <c r="L298" i="20" s="1"/>
  <c r="F300" i="20"/>
  <c r="L300" i="20" s="1"/>
  <c r="F299" i="20"/>
  <c r="F16" i="20"/>
  <c r="M214" i="20"/>
  <c r="Q214" i="20" s="1"/>
  <c r="F105" i="20"/>
  <c r="F110" i="20"/>
  <c r="F168" i="20"/>
  <c r="F90" i="20"/>
  <c r="F77" i="20"/>
  <c r="F160" i="20"/>
  <c r="F155" i="20"/>
  <c r="F136" i="20"/>
  <c r="F149" i="20"/>
  <c r="F236" i="20"/>
  <c r="F312" i="20"/>
  <c r="F324" i="20"/>
  <c r="F332" i="20"/>
  <c r="F318" i="20"/>
  <c r="F49" i="20"/>
  <c r="F40" i="20"/>
  <c r="F43" i="20"/>
  <c r="F146" i="20"/>
  <c r="F139" i="20"/>
  <c r="F235" i="20"/>
  <c r="F231" i="20"/>
  <c r="F323" i="20"/>
  <c r="M99" i="20"/>
  <c r="Q99" i="20" s="1"/>
  <c r="M140" i="20"/>
  <c r="Q140" i="20" s="1"/>
  <c r="K227" i="25"/>
  <c r="M114" i="20"/>
  <c r="Q114" i="20" s="1"/>
  <c r="F101" i="20"/>
  <c r="F107" i="20"/>
  <c r="F102" i="20"/>
  <c r="F108" i="20"/>
  <c r="F94" i="20"/>
  <c r="F85" i="20"/>
  <c r="F112" i="20"/>
  <c r="F113" i="20"/>
  <c r="F157" i="20"/>
  <c r="F234" i="20"/>
  <c r="F307" i="20"/>
  <c r="F311" i="20"/>
  <c r="F315" i="20"/>
  <c r="F309" i="20"/>
  <c r="F47" i="20"/>
  <c r="F76" i="20"/>
  <c r="F42" i="20"/>
  <c r="F227" i="20"/>
  <c r="F317" i="20"/>
  <c r="M75" i="20"/>
  <c r="Q75" i="20" s="1"/>
  <c r="M77" i="20"/>
  <c r="Q77" i="20" s="1"/>
  <c r="M68" i="20"/>
  <c r="Q68" i="20" s="1"/>
  <c r="M108" i="20"/>
  <c r="Q108" i="20" s="1"/>
  <c r="M144" i="20"/>
  <c r="Q144" i="20" s="1"/>
  <c r="M153" i="20"/>
  <c r="Q153" i="20" s="1"/>
  <c r="M72" i="20"/>
  <c r="Q72" i="20" s="1"/>
  <c r="M165" i="20"/>
  <c r="Q165" i="20" s="1"/>
  <c r="F166" i="20"/>
  <c r="F313" i="20"/>
  <c r="F44" i="20"/>
  <c r="F46" i="20"/>
  <c r="F330" i="20"/>
  <c r="F308" i="20"/>
  <c r="M19" i="20"/>
  <c r="Q19" i="20" s="1"/>
  <c r="M122" i="20"/>
  <c r="Q122" i="20" s="1"/>
  <c r="M231" i="20"/>
  <c r="Q231" i="20" s="1"/>
  <c r="M45" i="20"/>
  <c r="Q45" i="20" s="1"/>
  <c r="M208" i="20"/>
  <c r="Q208" i="20" s="1"/>
  <c r="M78" i="20"/>
  <c r="Q78" i="20" s="1"/>
  <c r="F98" i="20"/>
  <c r="F140" i="20"/>
  <c r="F310" i="20"/>
  <c r="K174" i="25"/>
  <c r="K244" i="25"/>
  <c r="K147" i="25"/>
  <c r="K221" i="25"/>
  <c r="K176" i="25"/>
  <c r="K246" i="25"/>
  <c r="K131" i="25"/>
  <c r="K204" i="25"/>
  <c r="K186" i="25"/>
  <c r="K257" i="25"/>
  <c r="K181" i="25"/>
  <c r="K258" i="25"/>
  <c r="K235" i="25"/>
  <c r="K182" i="25"/>
  <c r="K253" i="25"/>
  <c r="K156" i="25"/>
  <c r="K229" i="25"/>
  <c r="K184" i="25"/>
  <c r="K255" i="25"/>
  <c r="K140" i="25"/>
  <c r="K214" i="25"/>
  <c r="K196" i="25"/>
  <c r="K208" i="25"/>
  <c r="K259" i="25"/>
  <c r="K218" i="25"/>
  <c r="K179" i="25"/>
  <c r="K191" i="25"/>
  <c r="K126" i="25"/>
  <c r="K166" i="25"/>
  <c r="K237" i="25"/>
  <c r="K194" i="25"/>
  <c r="K149" i="25"/>
  <c r="K223" i="25"/>
  <c r="K132" i="25"/>
  <c r="K205" i="25"/>
  <c r="K233" i="25"/>
  <c r="K241" i="25"/>
  <c r="K152" i="25"/>
  <c r="K143" i="25"/>
  <c r="K127" i="25"/>
  <c r="K201" i="25"/>
  <c r="K175" i="25"/>
  <c r="K245" i="25"/>
  <c r="K129" i="25"/>
  <c r="K203" i="25"/>
  <c r="K158" i="25"/>
  <c r="K231" i="25"/>
  <c r="K141" i="25"/>
  <c r="K215" i="25"/>
  <c r="K252" i="25"/>
  <c r="K136" i="25"/>
  <c r="L126" i="25"/>
  <c r="K137" i="25"/>
  <c r="K210" i="25"/>
  <c r="K183" i="25"/>
  <c r="K254" i="25"/>
  <c r="K139" i="25"/>
  <c r="K213" i="25"/>
  <c r="K168" i="25"/>
  <c r="K239" i="25"/>
  <c r="K151" i="25"/>
  <c r="K224" i="25"/>
  <c r="K162" i="25"/>
  <c r="K225" i="25"/>
  <c r="K190" i="25"/>
  <c r="K171" i="25"/>
  <c r="K146" i="25"/>
  <c r="K220" i="25"/>
  <c r="K193" i="25"/>
  <c r="K148" i="25"/>
  <c r="K222" i="25"/>
  <c r="K177" i="25"/>
  <c r="K248" i="25"/>
  <c r="K159" i="25"/>
  <c r="K232" i="25"/>
  <c r="K134" i="25"/>
  <c r="K187" i="25"/>
  <c r="K163" i="25"/>
  <c r="K243" i="25"/>
  <c r="K197" i="25"/>
  <c r="K155" i="25"/>
  <c r="K228" i="25"/>
  <c r="K128" i="25"/>
  <c r="K202" i="25"/>
  <c r="K157" i="25"/>
  <c r="K230" i="25"/>
  <c r="K185" i="25"/>
  <c r="K256" i="25"/>
  <c r="K169" i="25"/>
  <c r="K240" i="25"/>
  <c r="K133" i="25"/>
  <c r="K209" i="25"/>
  <c r="K188" i="25"/>
  <c r="K219" i="25"/>
  <c r="K138" i="25"/>
  <c r="F22" i="14"/>
  <c r="K251" i="25"/>
  <c r="M332" i="20"/>
  <c r="Q332" i="20" s="1"/>
  <c r="M316" i="20"/>
  <c r="Q316" i="20" s="1"/>
  <c r="M330" i="20"/>
  <c r="Q330" i="20" s="1"/>
  <c r="M314" i="20"/>
  <c r="Q314" i="20" s="1"/>
  <c r="M320" i="20"/>
  <c r="Q320" i="20" s="1"/>
  <c r="M303" i="20"/>
  <c r="Q303" i="20" s="1"/>
  <c r="M121" i="20"/>
  <c r="Q121" i="20" s="1"/>
  <c r="M229" i="20"/>
  <c r="Q229" i="20" s="1"/>
  <c r="M196" i="20"/>
  <c r="Q196" i="20" s="1"/>
  <c r="M128" i="20"/>
  <c r="Q128" i="20" s="1"/>
  <c r="M97" i="20"/>
  <c r="Q97" i="20" s="1"/>
  <c r="M66" i="20"/>
  <c r="Q66" i="20" s="1"/>
  <c r="M204" i="20"/>
  <c r="Q204" i="20" s="1"/>
  <c r="M195" i="20"/>
  <c r="Q195" i="20" s="1"/>
  <c r="M212" i="20"/>
  <c r="Q212" i="20" s="1"/>
  <c r="M65" i="20"/>
  <c r="Q65" i="20" s="1"/>
  <c r="M95" i="20"/>
  <c r="Q95" i="20" s="1"/>
  <c r="K211" i="25"/>
  <c r="K178" i="25"/>
  <c r="M325" i="20"/>
  <c r="Q325" i="20" s="1"/>
  <c r="M331" i="20"/>
  <c r="Q331" i="20" s="1"/>
  <c r="M315" i="20"/>
  <c r="Q315" i="20" s="1"/>
  <c r="M310" i="20"/>
  <c r="Q310" i="20" s="1"/>
  <c r="M184" i="20"/>
  <c r="Q184" i="20" s="1"/>
  <c r="M197" i="20"/>
  <c r="Q197" i="20" s="1"/>
  <c r="M189" i="20"/>
  <c r="Q189" i="20" s="1"/>
  <c r="M120" i="20"/>
  <c r="Q120" i="20" s="1"/>
  <c r="M227" i="20"/>
  <c r="Q227" i="20" s="1"/>
  <c r="M147" i="20"/>
  <c r="Q147" i="20" s="1"/>
  <c r="M119" i="20"/>
  <c r="Q119" i="20" s="1"/>
  <c r="M129" i="20"/>
  <c r="Q129" i="20" s="1"/>
  <c r="M112" i="20"/>
  <c r="Q112" i="20" s="1"/>
  <c r="M203" i="20"/>
  <c r="Q203" i="20" s="1"/>
  <c r="M127" i="20"/>
  <c r="Q127" i="20" s="1"/>
  <c r="K165" i="25"/>
  <c r="K249" i="25"/>
  <c r="K216" i="25"/>
  <c r="K144" i="25"/>
  <c r="M329" i="20"/>
  <c r="Q329" i="20" s="1"/>
  <c r="M313" i="20"/>
  <c r="Q313" i="20" s="1"/>
  <c r="M326" i="20"/>
  <c r="Q326" i="20" s="1"/>
  <c r="M319" i="20"/>
  <c r="Q319" i="20" s="1"/>
  <c r="M58" i="20"/>
  <c r="Q58" i="20" s="1"/>
  <c r="M27" i="20"/>
  <c r="Q27" i="20" s="1"/>
  <c r="M216" i="20"/>
  <c r="Q216" i="20" s="1"/>
  <c r="M26" i="20"/>
  <c r="Q26" i="20" s="1"/>
  <c r="M235" i="20"/>
  <c r="Q235" i="20" s="1"/>
  <c r="M25" i="20"/>
  <c r="Q25" i="20" s="1"/>
  <c r="M170" i="20"/>
  <c r="Q170" i="20" s="1"/>
  <c r="M110" i="20"/>
  <c r="Q110" i="20" s="1"/>
  <c r="M71" i="20"/>
  <c r="Q71" i="20" s="1"/>
  <c r="K236" i="25"/>
  <c r="K167" i="25"/>
  <c r="K161" i="25"/>
  <c r="K198" i="25"/>
  <c r="K242" i="25"/>
  <c r="K153" i="25"/>
  <c r="K24" i="20"/>
  <c r="M308" i="20"/>
  <c r="Q308" i="20" s="1"/>
  <c r="M306" i="20"/>
  <c r="Q306" i="20" s="1"/>
  <c r="M312" i="20"/>
  <c r="Q312" i="20" s="1"/>
  <c r="M136" i="20"/>
  <c r="Q136" i="20" s="1"/>
  <c r="M172" i="20"/>
  <c r="Q172" i="20" s="1"/>
  <c r="M211" i="20"/>
  <c r="Q211" i="20" s="1"/>
  <c r="M179" i="20"/>
  <c r="Q179" i="20" s="1"/>
  <c r="M32" i="20"/>
  <c r="Q32" i="20" s="1"/>
  <c r="M181" i="20"/>
  <c r="Q181" i="20" s="1"/>
  <c r="M180" i="20"/>
  <c r="Q180" i="20" s="1"/>
  <c r="M155" i="20"/>
  <c r="Q155" i="20" s="1"/>
  <c r="M111" i="20"/>
  <c r="Q111" i="20" s="1"/>
  <c r="M88" i="20"/>
  <c r="Q88" i="20" s="1"/>
  <c r="M56" i="20"/>
  <c r="Q56" i="20" s="1"/>
  <c r="M226" i="20"/>
  <c r="Q226" i="20" s="1"/>
  <c r="M186" i="20"/>
  <c r="Q186" i="20" s="1"/>
  <c r="M146" i="20"/>
  <c r="Q146" i="20" s="1"/>
  <c r="M87" i="20"/>
  <c r="Q87" i="20" s="1"/>
  <c r="K238" i="25"/>
  <c r="K200" i="25"/>
  <c r="K154" i="25"/>
  <c r="M317" i="20"/>
  <c r="Q317" i="20" s="1"/>
  <c r="M324" i="20"/>
  <c r="Q324" i="20" s="1"/>
  <c r="M322" i="20"/>
  <c r="Q322" i="20" s="1"/>
  <c r="M105" i="20"/>
  <c r="Q105" i="20" s="1"/>
  <c r="M205" i="20"/>
  <c r="Q205" i="20" s="1"/>
  <c r="M236" i="20"/>
  <c r="Q236" i="20" s="1"/>
  <c r="M156" i="20"/>
  <c r="Q156" i="20" s="1"/>
  <c r="M81" i="20"/>
  <c r="Q81" i="20" s="1"/>
  <c r="M113" i="20"/>
  <c r="Q113" i="20" s="1"/>
  <c r="M74" i="20"/>
  <c r="Q74" i="20" s="1"/>
  <c r="M50" i="20"/>
  <c r="Q50" i="20" s="1"/>
  <c r="K226" i="25"/>
  <c r="K180" i="25"/>
  <c r="M24" i="20"/>
  <c r="Q24" i="20" s="1"/>
  <c r="M323" i="20"/>
  <c r="Q323" i="20" s="1"/>
  <c r="M307" i="20"/>
  <c r="Q307" i="20" s="1"/>
  <c r="M328" i="20"/>
  <c r="Q328" i="20" s="1"/>
  <c r="M318" i="20"/>
  <c r="Q318" i="20" s="1"/>
  <c r="M149" i="20"/>
  <c r="Q149" i="20" s="1"/>
  <c r="M176" i="20"/>
  <c r="Q176" i="20" s="1"/>
  <c r="M221" i="20"/>
  <c r="Q221" i="20" s="1"/>
  <c r="M173" i="20"/>
  <c r="Q173" i="20" s="1"/>
  <c r="M228" i="20"/>
  <c r="Q228" i="20" s="1"/>
  <c r="M103" i="20"/>
  <c r="Q103" i="20" s="1"/>
  <c r="M96" i="20"/>
  <c r="Q96" i="20" s="1"/>
  <c r="M187" i="20"/>
  <c r="Q187" i="20" s="1"/>
  <c r="K195" i="25"/>
  <c r="K234" i="25"/>
  <c r="K172" i="25"/>
  <c r="K250" i="25"/>
  <c r="K206" i="25"/>
  <c r="M333" i="20"/>
  <c r="Q333" i="20" s="1"/>
  <c r="M321" i="20"/>
  <c r="Q321" i="20" s="1"/>
  <c r="M305" i="20"/>
  <c r="Q305" i="20" s="1"/>
  <c r="M304" i="20"/>
  <c r="Q304" i="20" s="1"/>
  <c r="M311" i="20"/>
  <c r="Q311" i="20" s="1"/>
  <c r="M224" i="20"/>
  <c r="Q224" i="20" s="1"/>
  <c r="M42" i="20"/>
  <c r="Q42" i="20" s="1"/>
  <c r="M89" i="20"/>
  <c r="Q89" i="20" s="1"/>
  <c r="M48" i="20"/>
  <c r="Q48" i="20" s="1"/>
  <c r="M157" i="20"/>
  <c r="Q157" i="20" s="1"/>
  <c r="M148" i="20"/>
  <c r="Q148" i="20" s="1"/>
  <c r="M218" i="20"/>
  <c r="Q218" i="20" s="1"/>
  <c r="M178" i="20"/>
  <c r="Q178" i="20" s="1"/>
  <c r="M141" i="20"/>
  <c r="Q141" i="20" s="1"/>
  <c r="M79" i="20"/>
  <c r="Q79" i="20" s="1"/>
  <c r="M213" i="20"/>
  <c r="Q213" i="20" s="1"/>
  <c r="M194" i="20"/>
  <c r="Q194" i="20" s="1"/>
  <c r="M102" i="20"/>
  <c r="Q102" i="20" s="1"/>
  <c r="M104" i="20"/>
  <c r="Q104" i="20" s="1"/>
  <c r="M193" i="20"/>
  <c r="Q193" i="20" s="1"/>
  <c r="M133" i="20"/>
  <c r="Q133" i="20" s="1"/>
  <c r="M70" i="20"/>
  <c r="Q70" i="20" s="1"/>
  <c r="M200" i="20"/>
  <c r="Q200" i="20" s="1"/>
  <c r="M13" i="20"/>
  <c r="Q13" i="20" s="1"/>
  <c r="M29" i="20"/>
  <c r="Q29" i="20" s="1"/>
  <c r="M223" i="20"/>
  <c r="Q223" i="20" s="1"/>
  <c r="M138" i="20"/>
  <c r="Q138" i="20" s="1"/>
  <c r="M91" i="20"/>
  <c r="Q91" i="20" s="1"/>
  <c r="M190" i="20"/>
  <c r="Q190" i="20" s="1"/>
  <c r="M130" i="20"/>
  <c r="Q130" i="20" s="1"/>
  <c r="M67" i="20"/>
  <c r="Q67" i="20" s="1"/>
  <c r="M20" i="20"/>
  <c r="Q20" i="20" s="1"/>
  <c r="M309" i="20"/>
  <c r="Q309" i="20" s="1"/>
  <c r="M82" i="20"/>
  <c r="Q82" i="20" s="1"/>
  <c r="M162" i="20"/>
  <c r="Q162" i="20" s="1"/>
  <c r="M134" i="20"/>
  <c r="Q134" i="20" s="1"/>
  <c r="M47" i="20"/>
  <c r="Q47" i="20" s="1"/>
  <c r="M220" i="20"/>
  <c r="Q220" i="20" s="1"/>
  <c r="M164" i="20"/>
  <c r="Q164" i="20" s="1"/>
  <c r="M233" i="20"/>
  <c r="Q233" i="20" s="1"/>
  <c r="M169" i="20"/>
  <c r="Q169" i="20" s="1"/>
  <c r="M109" i="20"/>
  <c r="Q109" i="20" s="1"/>
  <c r="M46" i="20"/>
  <c r="Q46" i="20" s="1"/>
  <c r="M22" i="20"/>
  <c r="Q22" i="20" s="1"/>
  <c r="M69" i="20"/>
  <c r="Q69" i="20" s="1"/>
  <c r="M61" i="20"/>
  <c r="Q61" i="20" s="1"/>
  <c r="M167" i="20"/>
  <c r="Q167" i="20" s="1"/>
  <c r="M115" i="20"/>
  <c r="Q115" i="20" s="1"/>
  <c r="M52" i="20"/>
  <c r="Q52" i="20" s="1"/>
  <c r="M207" i="20"/>
  <c r="Q207" i="20" s="1"/>
  <c r="M107" i="20"/>
  <c r="Q107" i="20" s="1"/>
  <c r="M230" i="20"/>
  <c r="Q230" i="20" s="1"/>
  <c r="M166" i="20"/>
  <c r="Q166" i="20" s="1"/>
  <c r="M106" i="20"/>
  <c r="Q106" i="20" s="1"/>
  <c r="M43" i="20"/>
  <c r="Q43" i="20" s="1"/>
  <c r="M33" i="20"/>
  <c r="Q33" i="20" s="1"/>
  <c r="M80" i="20"/>
  <c r="Q80" i="20" s="1"/>
  <c r="M40" i="20"/>
  <c r="Q40" i="20" s="1"/>
  <c r="M126" i="20"/>
  <c r="Q126" i="20" s="1"/>
  <c r="M94" i="20"/>
  <c r="Q94" i="20" s="1"/>
  <c r="M23" i="20"/>
  <c r="Q23" i="20" s="1"/>
  <c r="M209" i="20"/>
  <c r="Q209" i="20" s="1"/>
  <c r="M145" i="20"/>
  <c r="Q145" i="20" s="1"/>
  <c r="M86" i="20"/>
  <c r="Q86" i="20" s="1"/>
  <c r="M100" i="20"/>
  <c r="Q100" i="20" s="1"/>
  <c r="M192" i="20"/>
  <c r="Q192" i="20" s="1"/>
  <c r="M152" i="20"/>
  <c r="Q152" i="20" s="1"/>
  <c r="M159" i="20"/>
  <c r="Q159" i="20" s="1"/>
  <c r="M206" i="20"/>
  <c r="Q206" i="20" s="1"/>
  <c r="M142" i="20"/>
  <c r="Q142" i="20" s="1"/>
  <c r="M83" i="20"/>
  <c r="Q83" i="20" s="1"/>
  <c r="M16" i="20"/>
  <c r="Q16" i="20" s="1"/>
  <c r="M57" i="20"/>
  <c r="Q57" i="20" s="1"/>
  <c r="M219" i="20"/>
  <c r="Q219" i="20" s="1"/>
  <c r="M154" i="20"/>
  <c r="Q154" i="20" s="1"/>
  <c r="M63" i="20"/>
  <c r="Q63" i="20" s="1"/>
  <c r="M73" i="20"/>
  <c r="Q73" i="20" s="1"/>
  <c r="M185" i="20"/>
  <c r="Q185" i="20" s="1"/>
  <c r="M125" i="20"/>
  <c r="Q125" i="20" s="1"/>
  <c r="M62" i="20"/>
  <c r="Q62" i="20" s="1"/>
  <c r="M160" i="20"/>
  <c r="Q160" i="20" s="1"/>
  <c r="M139" i="20"/>
  <c r="Q139" i="20" s="1"/>
  <c r="M116" i="20"/>
  <c r="Q116" i="20" s="1"/>
  <c r="M37" i="20"/>
  <c r="Q37" i="20" s="1"/>
  <c r="M199" i="20"/>
  <c r="Q199" i="20" s="1"/>
  <c r="M64" i="20"/>
  <c r="Q64" i="20" s="1"/>
  <c r="M34" i="20"/>
  <c r="Q34" i="20" s="1"/>
  <c r="M118" i="20"/>
  <c r="Q118" i="20" s="1"/>
  <c r="M39" i="20"/>
  <c r="Q39" i="20" s="1"/>
  <c r="M135" i="20"/>
  <c r="Q135" i="20" s="1"/>
  <c r="M225" i="20"/>
  <c r="Q225" i="20" s="1"/>
  <c r="M161" i="20"/>
  <c r="Q161" i="20" s="1"/>
  <c r="M101" i="20"/>
  <c r="Q101" i="20" s="1"/>
  <c r="M38" i="20"/>
  <c r="Q38" i="20" s="1"/>
  <c r="M151" i="20"/>
  <c r="Q151" i="20" s="1"/>
  <c r="M84" i="20"/>
  <c r="Q84" i="20" s="1"/>
  <c r="M44" i="20"/>
  <c r="Q44" i="20" s="1"/>
  <c r="M92" i="20"/>
  <c r="Q92" i="20" s="1"/>
  <c r="M191" i="20"/>
  <c r="Q191" i="20" s="1"/>
  <c r="M222" i="20"/>
  <c r="Q222" i="20" s="1"/>
  <c r="M158" i="20"/>
  <c r="Q158" i="20" s="1"/>
  <c r="M98" i="20"/>
  <c r="Q98" i="20" s="1"/>
  <c r="M35" i="20"/>
  <c r="Q35" i="20" s="1"/>
  <c r="M18" i="20"/>
  <c r="Q18" i="20" s="1"/>
  <c r="M202" i="20"/>
  <c r="Q202" i="20" s="1"/>
  <c r="M55" i="20"/>
  <c r="Q55" i="20" s="1"/>
  <c r="M49" i="20"/>
  <c r="Q49" i="20" s="1"/>
  <c r="M177" i="20"/>
  <c r="Q177" i="20" s="1"/>
  <c r="M117" i="20"/>
  <c r="Q117" i="20" s="1"/>
  <c r="M54" i="20"/>
  <c r="Q54" i="20" s="1"/>
  <c r="M85" i="20"/>
  <c r="Q85" i="20" s="1"/>
  <c r="M168" i="20"/>
  <c r="Q168" i="20" s="1"/>
  <c r="M183" i="20"/>
  <c r="Q183" i="20" s="1"/>
  <c r="M123" i="20"/>
  <c r="Q123" i="20" s="1"/>
  <c r="M60" i="20"/>
  <c r="Q60" i="20" s="1"/>
  <c r="M12" i="20"/>
  <c r="Q12" i="20" s="1"/>
  <c r="M21" i="20"/>
  <c r="Q21" i="20" s="1"/>
  <c r="M215" i="20"/>
  <c r="Q215" i="20" s="1"/>
  <c r="M174" i="20"/>
  <c r="Q174" i="20" s="1"/>
  <c r="F165" i="20"/>
  <c r="F103" i="20"/>
  <c r="F100" i="20"/>
  <c r="F148" i="20"/>
  <c r="F184" i="20"/>
  <c r="F233" i="20"/>
  <c r="F329" i="20"/>
  <c r="F327" i="20"/>
  <c r="F82" i="20"/>
  <c r="F66" i="20"/>
  <c r="F68" i="20"/>
  <c r="F142" i="20"/>
  <c r="F80" i="20"/>
  <c r="M17" i="20"/>
  <c r="Q17" i="20" s="1"/>
  <c r="M90" i="20"/>
  <c r="Q90" i="20" s="1"/>
  <c r="M143" i="20"/>
  <c r="Q143" i="20" s="1"/>
  <c r="M28" i="20"/>
  <c r="Q28" i="20" s="1"/>
  <c r="M76" i="20"/>
  <c r="Q76" i="20" s="1"/>
  <c r="M93" i="20"/>
  <c r="Q93" i="20" s="1"/>
  <c r="M210" i="20"/>
  <c r="Q210" i="20" s="1"/>
  <c r="F162" i="20"/>
  <c r="F173" i="20"/>
  <c r="F116" i="20"/>
  <c r="F138" i="20"/>
  <c r="F167" i="20"/>
  <c r="F19" i="20"/>
  <c r="F143" i="20"/>
  <c r="F319" i="20"/>
  <c r="F305" i="20"/>
  <c r="F331" i="20"/>
  <c r="F33" i="20"/>
  <c r="F32" i="20"/>
  <c r="F48" i="20"/>
  <c r="F74" i="20"/>
  <c r="F17" i="20"/>
  <c r="F88" i="20"/>
  <c r="M51" i="20"/>
  <c r="Q51" i="20" s="1"/>
  <c r="M182" i="20"/>
  <c r="Q182" i="20" s="1"/>
  <c r="M36" i="20"/>
  <c r="Q36" i="20" s="1"/>
  <c r="M14" i="20"/>
  <c r="Q14" i="20" s="1"/>
  <c r="M31" i="20"/>
  <c r="Q31" i="20" s="1"/>
  <c r="M234" i="20"/>
  <c r="Q234" i="20" s="1"/>
  <c r="M41" i="20"/>
  <c r="Q41" i="20" s="1"/>
  <c r="F75" i="20"/>
  <c r="F229" i="20"/>
  <c r="F99" i="20"/>
  <c r="F86" i="20"/>
  <c r="F92" i="20"/>
  <c r="F84" i="20"/>
  <c r="F147" i="20"/>
  <c r="F303" i="20"/>
  <c r="F321" i="20"/>
  <c r="F333" i="20"/>
  <c r="F306" i="20"/>
  <c r="F322" i="20"/>
  <c r="F37" i="20"/>
  <c r="F72" i="20"/>
  <c r="F18" i="20"/>
  <c r="M137" i="20"/>
  <c r="Q137" i="20" s="1"/>
  <c r="M175" i="20"/>
  <c r="Q175" i="20" s="1"/>
  <c r="M131" i="20"/>
  <c r="Q131" i="20" s="1"/>
  <c r="M124" i="20"/>
  <c r="Q124" i="20" s="1"/>
  <c r="M232" i="20"/>
  <c r="Q232" i="20" s="1"/>
  <c r="M30" i="20"/>
  <c r="Q30" i="20" s="1"/>
  <c r="F106" i="20"/>
  <c r="F23" i="20"/>
  <c r="F26" i="20"/>
  <c r="F169" i="20"/>
  <c r="F54" i="20"/>
  <c r="F83" i="20"/>
  <c r="F69" i="20"/>
  <c r="F141" i="20"/>
  <c r="F67" i="20"/>
  <c r="F145" i="20"/>
  <c r="F228" i="20"/>
  <c r="F320" i="20"/>
  <c r="F328" i="20"/>
  <c r="F326" i="20"/>
  <c r="F41" i="20"/>
  <c r="F35" i="20"/>
  <c r="F159" i="20"/>
  <c r="F304" i="20"/>
  <c r="F144" i="20"/>
  <c r="M15" i="20"/>
  <c r="Q15" i="20" s="1"/>
  <c r="M59" i="20"/>
  <c r="Q59" i="20" s="1"/>
  <c r="M198" i="20"/>
  <c r="Q198" i="20" s="1"/>
  <c r="M132" i="20"/>
  <c r="Q132" i="20" s="1"/>
  <c r="M201" i="20"/>
  <c r="Q201" i="20" s="1"/>
  <c r="M171" i="20"/>
  <c r="Q171" i="20" s="1"/>
  <c r="M327" i="20"/>
  <c r="Q327" i="20" s="1"/>
  <c r="F109" i="20"/>
  <c r="F161" i="20"/>
  <c r="F111" i="20"/>
  <c r="F104" i="20"/>
  <c r="F87" i="20"/>
  <c r="F81" i="20"/>
  <c r="F91" i="20"/>
  <c r="F73" i="20"/>
  <c r="F156" i="20"/>
  <c r="F182" i="20"/>
  <c r="F230" i="20"/>
  <c r="F232" i="20"/>
  <c r="F325" i="20"/>
  <c r="F314" i="20"/>
  <c r="F45" i="20"/>
  <c r="F39" i="20"/>
  <c r="F70" i="20"/>
  <c r="F316" i="20"/>
  <c r="F34" i="20"/>
  <c r="M150" i="20"/>
  <c r="Q150" i="20" s="1"/>
  <c r="M53" i="20"/>
  <c r="Q53" i="20" s="1"/>
  <c r="M217" i="20"/>
  <c r="Q217" i="20" s="1"/>
  <c r="M188" i="20"/>
  <c r="Q188" i="20" s="1"/>
  <c r="M163" i="20"/>
  <c r="Q163" i="20" s="1"/>
  <c r="F130" i="20"/>
  <c r="F132" i="20"/>
  <c r="F131" i="20"/>
  <c r="F129" i="20"/>
  <c r="F127" i="20"/>
  <c r="F14" i="20"/>
  <c r="F174" i="20"/>
  <c r="F51" i="20"/>
  <c r="F93" i="20"/>
  <c r="F177" i="20"/>
  <c r="F59" i="20"/>
  <c r="F218" i="20"/>
  <c r="F55" i="20"/>
  <c r="F196" i="20"/>
  <c r="F199" i="20"/>
  <c r="F135" i="20"/>
  <c r="F214" i="20"/>
  <c r="F202" i="20"/>
  <c r="F21" i="20"/>
  <c r="F28" i="20"/>
  <c r="F13" i="20"/>
  <c r="F12" i="20"/>
  <c r="F170" i="20"/>
  <c r="F175" i="20"/>
  <c r="F25" i="20"/>
  <c r="F126" i="20"/>
  <c r="F78" i="20"/>
  <c r="F71" i="20"/>
  <c r="F150" i="20"/>
  <c r="F63" i="20"/>
  <c r="F201" i="20"/>
  <c r="F225" i="20"/>
  <c r="F200" i="20"/>
  <c r="F203" i="20"/>
  <c r="F22" i="20"/>
  <c r="F15" i="20"/>
  <c r="F31" i="20"/>
  <c r="F52" i="20"/>
  <c r="F89" i="20"/>
  <c r="F95" i="20"/>
  <c r="F121" i="20"/>
  <c r="F133" i="20"/>
  <c r="F153" i="20"/>
  <c r="F222" i="20"/>
  <c r="F58" i="20"/>
  <c r="F204" i="20"/>
  <c r="F61" i="20"/>
  <c r="F207" i="20"/>
  <c r="F137" i="20"/>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260" i="20"/>
  <c r="T260" i="20" s="1"/>
  <c r="V260" i="20" s="1"/>
  <c r="L287" i="20" l="1"/>
  <c r="L290" i="20"/>
  <c r="L269" i="20"/>
  <c r="L282" i="20"/>
  <c r="L247" i="20"/>
  <c r="L299" i="20"/>
  <c r="L284" i="20"/>
  <c r="L279" i="20"/>
  <c r="L292" i="20"/>
  <c r="L296" i="20"/>
  <c r="L286" i="20"/>
  <c r="L302" i="20"/>
  <c r="L288" i="20"/>
  <c r="L297" i="20"/>
  <c r="L291" i="20"/>
  <c r="L293" i="20"/>
  <c r="L289" i="20"/>
  <c r="L283" i="20"/>
  <c r="L285" i="20"/>
  <c r="O239" i="20"/>
  <c r="O240" i="20"/>
  <c r="O260" i="20"/>
  <c r="P260" i="20" s="1"/>
  <c r="O241" i="20"/>
  <c r="O238" i="20"/>
  <c r="O304" i="20"/>
  <c r="O303" i="20"/>
  <c r="O237" i="20"/>
  <c r="O35" i="20"/>
  <c r="P35" i="20" s="1"/>
  <c r="O34" i="20"/>
  <c r="P34" i="20" s="1"/>
  <c r="O33" i="20"/>
  <c r="P33" i="20" s="1"/>
  <c r="O32" i="20"/>
  <c r="P32" i="20" s="1"/>
  <c r="O135" i="20"/>
  <c r="L113" i="20"/>
  <c r="L13" i="20"/>
  <c r="L224" i="20"/>
  <c r="L87" i="20"/>
  <c r="L16" i="20"/>
  <c r="L236" i="20"/>
  <c r="L15" i="20"/>
  <c r="L36" i="20"/>
  <c r="L88" i="20"/>
  <c r="L235" i="20"/>
  <c r="L40" i="20"/>
  <c r="L318" i="20"/>
  <c r="L308" i="20"/>
  <c r="L157" i="20"/>
  <c r="L77" i="20"/>
  <c r="L43" i="20"/>
  <c r="L310" i="20"/>
  <c r="L76" i="20"/>
  <c r="L46" i="20"/>
  <c r="L234" i="20"/>
  <c r="L313" i="20"/>
  <c r="L85" i="20"/>
  <c r="L140" i="20"/>
  <c r="L141" i="20"/>
  <c r="L150" i="20"/>
  <c r="L91" i="20"/>
  <c r="L135" i="20"/>
  <c r="L138" i="20"/>
  <c r="L142" i="20"/>
  <c r="L148" i="20"/>
  <c r="L139" i="20"/>
  <c r="L143" i="20"/>
  <c r="L146" i="20"/>
  <c r="L149" i="20"/>
  <c r="L137" i="20"/>
  <c r="L94" i="20"/>
  <c r="L144" i="20"/>
  <c r="L147" i="20"/>
  <c r="L145" i="20"/>
  <c r="L47" i="20"/>
  <c r="L44" i="20"/>
  <c r="L323" i="20"/>
  <c r="L92" i="20"/>
  <c r="L107" i="20"/>
  <c r="L169" i="20"/>
  <c r="L74" i="20"/>
  <c r="L324" i="20"/>
  <c r="L106" i="20"/>
  <c r="L311" i="20"/>
  <c r="L31" i="20"/>
  <c r="L84" i="20"/>
  <c r="L196" i="20"/>
  <c r="L230" i="20"/>
  <c r="L175" i="20"/>
  <c r="L193" i="20"/>
  <c r="L170" i="20"/>
  <c r="L51" i="20"/>
  <c r="L54" i="20"/>
  <c r="L65" i="20"/>
  <c r="L53" i="20"/>
  <c r="L59" i="20"/>
  <c r="L152" i="20"/>
  <c r="L103" i="20"/>
  <c r="L167" i="20"/>
  <c r="L220" i="20"/>
  <c r="L307" i="20"/>
  <c r="L66" i="20"/>
  <c r="L332" i="20"/>
  <c r="L156" i="20"/>
  <c r="L180" i="20"/>
  <c r="L171" i="20"/>
  <c r="L136" i="20"/>
  <c r="L71" i="20"/>
  <c r="L108" i="20"/>
  <c r="L109" i="20"/>
  <c r="L200" i="20"/>
  <c r="L124" i="20"/>
  <c r="L72" i="20"/>
  <c r="L114" i="20"/>
  <c r="L28" i="20"/>
  <c r="L189" i="20"/>
  <c r="L61" i="20"/>
  <c r="L228" i="20"/>
  <c r="L321" i="20"/>
  <c r="L112" i="20"/>
  <c r="L62" i="20"/>
  <c r="L322" i="20"/>
  <c r="L64" i="20"/>
  <c r="L172" i="20"/>
  <c r="L181" i="20"/>
  <c r="L227" i="20"/>
  <c r="L184" i="20"/>
  <c r="L197" i="20"/>
  <c r="L214" i="20"/>
  <c r="L117" i="20"/>
  <c r="L188" i="20"/>
  <c r="L118" i="20"/>
  <c r="L122" i="20"/>
  <c r="L191" i="20"/>
  <c r="L104" i="20"/>
  <c r="L212" i="20"/>
  <c r="L232" i="20"/>
  <c r="L78" i="20"/>
  <c r="L222" i="20"/>
  <c r="L38" i="20"/>
  <c r="L100" i="20"/>
  <c r="L52" i="20"/>
  <c r="L209" i="20"/>
  <c r="L163" i="20"/>
  <c r="L306" i="20"/>
  <c r="L41" i="20"/>
  <c r="L173" i="20"/>
  <c r="L328" i="20"/>
  <c r="L155" i="20"/>
  <c r="L50" i="20"/>
  <c r="L205" i="20"/>
  <c r="L67" i="20"/>
  <c r="L198" i="20"/>
  <c r="L130" i="20"/>
  <c r="L133" i="20"/>
  <c r="L187" i="20"/>
  <c r="L178" i="20"/>
  <c r="L68" i="20"/>
  <c r="L225" i="20"/>
  <c r="L195" i="20"/>
  <c r="L218" i="20"/>
  <c r="L206" i="20"/>
  <c r="L213" i="20"/>
  <c r="L309" i="20"/>
  <c r="L89" i="20"/>
  <c r="L25" i="20"/>
  <c r="L221" i="20"/>
  <c r="L315" i="20"/>
  <c r="L203" i="20"/>
  <c r="L314" i="20"/>
  <c r="L120" i="20"/>
  <c r="L327" i="20"/>
  <c r="L168" i="20"/>
  <c r="L237" i="20"/>
  <c r="L30" i="20"/>
  <c r="L90" i="20"/>
  <c r="L110" i="20"/>
  <c r="L123" i="20"/>
  <c r="L190" i="20"/>
  <c r="L174" i="20"/>
  <c r="L45" i="20"/>
  <c r="L177" i="20"/>
  <c r="L55" i="20"/>
  <c r="L210" i="20"/>
  <c r="L98" i="20"/>
  <c r="L73" i="20"/>
  <c r="L186" i="20"/>
  <c r="L182" i="20"/>
  <c r="L29" i="20"/>
  <c r="L125" i="20"/>
  <c r="L56" i="20"/>
  <c r="L115" i="20"/>
  <c r="L86" i="20"/>
  <c r="L128" i="20"/>
  <c r="L57" i="20"/>
  <c r="L82" i="20"/>
  <c r="L102" i="20"/>
  <c r="L202" i="20"/>
  <c r="L119" i="20"/>
  <c r="L317" i="20"/>
  <c r="L326" i="20"/>
  <c r="L330" i="20"/>
  <c r="L48" i="20"/>
  <c r="L60" i="20"/>
  <c r="L151" i="20"/>
  <c r="L179" i="20"/>
  <c r="L134" i="20"/>
  <c r="L208" i="20"/>
  <c r="L132" i="20"/>
  <c r="L79" i="20"/>
  <c r="L231" i="20"/>
  <c r="L131" i="20"/>
  <c r="L116" i="20"/>
  <c r="L101" i="20"/>
  <c r="L83" i="20"/>
  <c r="L69" i="20"/>
  <c r="L164" i="20"/>
  <c r="L229" i="20"/>
  <c r="L320" i="20"/>
  <c r="L316" i="20"/>
  <c r="L176" i="20"/>
  <c r="L81" i="20"/>
  <c r="L216" i="20"/>
  <c r="L312" i="20"/>
  <c r="L127" i="20"/>
  <c r="L80" i="20"/>
  <c r="L27" i="20"/>
  <c r="L194" i="20"/>
  <c r="L166" i="20"/>
  <c r="L233" i="20"/>
  <c r="L217" i="20"/>
  <c r="L93" i="20"/>
  <c r="L14" i="20"/>
  <c r="L129" i="20"/>
  <c r="L158" i="20"/>
  <c r="L199" i="20"/>
  <c r="L160" i="20"/>
  <c r="L39" i="20"/>
  <c r="L95" i="20"/>
  <c r="L192" i="20"/>
  <c r="L185" i="20"/>
  <c r="L63" i="20"/>
  <c r="L204" i="20"/>
  <c r="L207" i="20"/>
  <c r="L111" i="20"/>
  <c r="L325" i="20"/>
  <c r="L154" i="20"/>
  <c r="L97" i="20"/>
  <c r="L42" i="20"/>
  <c r="L333" i="20"/>
  <c r="L162" i="20"/>
  <c r="L319" i="20"/>
  <c r="L331" i="20"/>
  <c r="L24" i="20"/>
  <c r="L26" i="20"/>
  <c r="L49" i="20"/>
  <c r="L183" i="20"/>
  <c r="L75" i="20"/>
  <c r="L215" i="20"/>
  <c r="L226" i="20"/>
  <c r="L105" i="20"/>
  <c r="L58" i="20"/>
  <c r="L223" i="20"/>
  <c r="L70" i="20"/>
  <c r="L99" i="20"/>
  <c r="L37" i="20"/>
  <c r="L201" i="20"/>
  <c r="L161" i="20"/>
  <c r="L96" i="20"/>
  <c r="L159" i="20"/>
  <c r="L219" i="20"/>
  <c r="L121" i="20"/>
  <c r="L165" i="20"/>
  <c r="L211" i="20"/>
  <c r="L305" i="20"/>
  <c r="L126" i="20"/>
  <c r="L329" i="20"/>
  <c r="L153" i="20"/>
  <c r="L12" i="20"/>
  <c r="N237" i="20"/>
  <c r="T237" i="20" s="1"/>
  <c r="V237" i="20" s="1"/>
  <c r="C19" i="21"/>
  <c r="N12" i="20"/>
  <c r="T12" i="20" s="1"/>
  <c r="O24" i="20"/>
  <c r="Q335" i="20"/>
  <c r="H26" i="21" s="1"/>
  <c r="H27" i="21" s="1"/>
  <c r="H28" i="21" s="1"/>
  <c r="H29" i="21" s="1"/>
  <c r="H30" i="21" s="1"/>
  <c r="H31" i="21" s="1"/>
  <c r="N24" i="20"/>
  <c r="P7" i="20"/>
  <c r="P11" i="20"/>
  <c r="P5" i="20"/>
  <c r="P6" i="20"/>
  <c r="P10" i="20"/>
  <c r="P9" i="20"/>
  <c r="P4" i="20"/>
  <c r="P8" i="20"/>
  <c r="P237" i="20" l="1"/>
  <c r="P24" i="20"/>
  <c r="H32" i="21"/>
  <c r="S24" i="20"/>
  <c r="T24" i="20"/>
  <c r="V24" i="20" s="1"/>
  <c r="D20" i="14"/>
  <c r="B372" i="16"/>
  <c r="B371" i="16"/>
  <c r="B370" i="16"/>
  <c r="B369" i="16"/>
  <c r="B368" i="16"/>
  <c r="B367" i="16"/>
  <c r="B365" i="16"/>
  <c r="B364" i="16"/>
  <c r="B363" i="16"/>
  <c r="B362" i="16"/>
  <c r="B361" i="16"/>
  <c r="B360" i="16"/>
  <c r="B359" i="16"/>
  <c r="B358" i="16"/>
  <c r="B356" i="16"/>
  <c r="B355" i="16"/>
  <c r="B354" i="16"/>
  <c r="B353" i="16"/>
  <c r="B352" i="16"/>
  <c r="B350" i="16"/>
  <c r="B349" i="16"/>
  <c r="B348" i="16"/>
  <c r="B347" i="16"/>
  <c r="B346" i="16"/>
  <c r="B344" i="16"/>
  <c r="B343" i="16"/>
  <c r="B342" i="16"/>
  <c r="B341" i="16"/>
  <c r="B340" i="16"/>
  <c r="B338" i="16"/>
  <c r="B337" i="16"/>
  <c r="B335" i="16"/>
  <c r="B334" i="16"/>
  <c r="B333" i="16"/>
  <c r="B332" i="16"/>
  <c r="B331" i="16"/>
  <c r="B330" i="16"/>
  <c r="B329" i="16"/>
  <c r="B328" i="16"/>
  <c r="B326" i="16"/>
  <c r="B325" i="16"/>
  <c r="B324" i="16"/>
  <c r="B323" i="16"/>
  <c r="B322" i="16"/>
  <c r="B321" i="16"/>
  <c r="B320" i="16"/>
  <c r="B319" i="16"/>
  <c r="B318" i="16"/>
  <c r="B317" i="16"/>
  <c r="B316" i="16"/>
  <c r="B315" i="16"/>
  <c r="B314" i="16"/>
  <c r="B313" i="16"/>
  <c r="B312" i="16"/>
  <c r="B310" i="16"/>
  <c r="B309" i="16"/>
  <c r="B308" i="16"/>
  <c r="B307" i="16"/>
  <c r="B306" i="16"/>
  <c r="B304" i="16"/>
  <c r="B303" i="16"/>
  <c r="B302" i="16"/>
  <c r="B301" i="16"/>
  <c r="B300" i="16"/>
  <c r="B299" i="16"/>
  <c r="B298" i="16"/>
  <c r="B297" i="16"/>
  <c r="B296" i="16"/>
  <c r="B295" i="16"/>
  <c r="B294" i="16"/>
  <c r="B293" i="16"/>
  <c r="B292" i="16"/>
  <c r="B290" i="16"/>
  <c r="B289" i="16"/>
  <c r="B288" i="16"/>
  <c r="B287" i="16"/>
  <c r="B286" i="16"/>
  <c r="B285" i="16"/>
  <c r="B284" i="16"/>
  <c r="B283" i="16"/>
  <c r="B281" i="16"/>
  <c r="B280" i="16"/>
  <c r="B278" i="16"/>
  <c r="B277" i="16"/>
  <c r="B275" i="16"/>
  <c r="B274" i="16"/>
  <c r="B273" i="16"/>
  <c r="B271" i="16"/>
  <c r="B270" i="16"/>
  <c r="B269" i="16"/>
  <c r="B268" i="16"/>
  <c r="B266" i="16"/>
  <c r="B265" i="16"/>
  <c r="B264" i="16"/>
  <c r="B263" i="16"/>
  <c r="B262" i="16"/>
  <c r="B260" i="16"/>
  <c r="B259" i="16"/>
  <c r="B258" i="16"/>
  <c r="B257" i="16"/>
  <c r="B256" i="16"/>
  <c r="B255" i="16"/>
  <c r="B254" i="16"/>
  <c r="B253" i="16"/>
  <c r="B252" i="16"/>
  <c r="B251" i="16"/>
  <c r="B249" i="16"/>
  <c r="B248" i="16"/>
  <c r="B247" i="16"/>
  <c r="B246" i="16"/>
  <c r="B245" i="16"/>
  <c r="B244" i="16"/>
  <c r="B243" i="16"/>
  <c r="B242" i="16"/>
  <c r="B241" i="16"/>
  <c r="B240" i="16"/>
  <c r="B239" i="16"/>
  <c r="B238"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6" i="16"/>
  <c r="B205" i="16"/>
  <c r="B204" i="16"/>
  <c r="B203" i="16"/>
  <c r="B202" i="16"/>
  <c r="B201" i="16"/>
  <c r="B199" i="16"/>
  <c r="B198" i="16"/>
  <c r="B197" i="16"/>
  <c r="B196" i="16"/>
  <c r="B194" i="16"/>
  <c r="B193" i="16"/>
  <c r="B192" i="16"/>
  <c r="B191" i="16"/>
  <c r="B190" i="16"/>
  <c r="B189" i="16"/>
  <c r="B188" i="16"/>
  <c r="B187" i="16"/>
  <c r="B186" i="16"/>
  <c r="B185" i="16"/>
  <c r="B184" i="16"/>
  <c r="B183" i="16"/>
  <c r="B182" i="16"/>
  <c r="B181" i="16"/>
  <c r="B180" i="16"/>
  <c r="B178" i="16"/>
  <c r="B177" i="16"/>
  <c r="B176" i="16"/>
  <c r="B175" i="16"/>
  <c r="B174" i="16"/>
  <c r="B173" i="16"/>
  <c r="B172" i="16"/>
  <c r="B171" i="16"/>
  <c r="B170" i="16"/>
  <c r="B169" i="16"/>
  <c r="B168" i="16"/>
  <c r="B166" i="16"/>
  <c r="B165" i="16"/>
  <c r="B164" i="16"/>
  <c r="B163" i="16"/>
  <c r="B162" i="16"/>
  <c r="B161" i="16"/>
  <c r="B160" i="16"/>
  <c r="B159" i="16"/>
  <c r="B158" i="16"/>
  <c r="B157" i="16"/>
  <c r="B156" i="16"/>
  <c r="B155" i="16"/>
  <c r="B154" i="16"/>
  <c r="B153" i="16"/>
  <c r="B152" i="16"/>
  <c r="B151"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5" i="16"/>
  <c r="B124" i="16"/>
  <c r="B123" i="16"/>
  <c r="B122" i="16"/>
  <c r="B121" i="16"/>
  <c r="B120" i="16"/>
  <c r="B119" i="16"/>
  <c r="B118" i="16"/>
  <c r="B117" i="16"/>
  <c r="B116" i="16"/>
  <c r="B115" i="16"/>
  <c r="B114" i="16"/>
  <c r="B113" i="16"/>
  <c r="B112" i="16"/>
  <c r="B111" i="16"/>
  <c r="B110" i="16"/>
  <c r="B108" i="16"/>
  <c r="B107" i="16"/>
  <c r="B106" i="16"/>
  <c r="B105" i="16"/>
  <c r="B103" i="16"/>
  <c r="B102" i="16"/>
  <c r="B101" i="16"/>
  <c r="B100" i="16"/>
  <c r="B99" i="16"/>
  <c r="B98" i="16"/>
  <c r="B97" i="16"/>
  <c r="B96" i="16"/>
  <c r="B95" i="16"/>
  <c r="B94" i="16"/>
  <c r="B93" i="16"/>
  <c r="B92" i="16"/>
  <c r="B91" i="16"/>
  <c r="B89" i="16"/>
  <c r="B88" i="16"/>
  <c r="B87" i="16"/>
  <c r="B86" i="16"/>
  <c r="B85" i="16"/>
  <c r="B84" i="16"/>
  <c r="B83" i="16"/>
  <c r="B82" i="16"/>
  <c r="B81" i="16"/>
  <c r="B80" i="16"/>
  <c r="B79" i="16"/>
  <c r="B78" i="16"/>
  <c r="B77" i="16"/>
  <c r="B76" i="16"/>
  <c r="B74" i="16"/>
  <c r="B73" i="16"/>
  <c r="B72" i="16"/>
  <c r="B71" i="16"/>
  <c r="B70" i="16"/>
  <c r="B69" i="16"/>
  <c r="B68" i="16"/>
  <c r="B67" i="16"/>
  <c r="B66" i="16"/>
  <c r="B64" i="16"/>
  <c r="B63" i="16"/>
  <c r="B62" i="16"/>
  <c r="B61" i="16"/>
  <c r="B60" i="16"/>
  <c r="B58" i="16"/>
  <c r="B57" i="16"/>
  <c r="B56" i="16"/>
  <c r="B55" i="16"/>
  <c r="B54" i="16"/>
  <c r="B53" i="16"/>
  <c r="B52" i="16"/>
  <c r="B51" i="16"/>
  <c r="B50" i="16"/>
  <c r="B49" i="16"/>
  <c r="B48" i="16"/>
  <c r="B47" i="16"/>
  <c r="B46" i="16"/>
  <c r="B45" i="16"/>
  <c r="B44" i="16"/>
  <c r="B43" i="16"/>
  <c r="B42" i="16"/>
  <c r="B41" i="16"/>
  <c r="B39" i="16"/>
  <c r="B38" i="16"/>
  <c r="B37" i="16"/>
  <c r="B36" i="16"/>
  <c r="B35" i="16"/>
  <c r="B34" i="16"/>
  <c r="B33" i="16"/>
  <c r="D345" i="16"/>
  <c r="C345" i="16"/>
  <c r="D336" i="16"/>
  <c r="C336" i="16"/>
  <c r="D327" i="16"/>
  <c r="C327" i="16"/>
  <c r="D311" i="16"/>
  <c r="C311" i="16"/>
  <c r="D305" i="16"/>
  <c r="C305" i="16"/>
  <c r="D366" i="16"/>
  <c r="C366" i="16"/>
  <c r="D357" i="16"/>
  <c r="C357" i="16"/>
  <c r="D339" i="16"/>
  <c r="C339" i="16"/>
  <c r="D291" i="16"/>
  <c r="C291" i="16"/>
  <c r="D282" i="16"/>
  <c r="C282" i="16"/>
  <c r="D279" i="16"/>
  <c r="C279" i="16"/>
  <c r="D276" i="16"/>
  <c r="C276" i="16"/>
  <c r="D272" i="16"/>
  <c r="C272" i="16"/>
  <c r="D267" i="16"/>
  <c r="C267" i="16"/>
  <c r="D261" i="16"/>
  <c r="C261" i="16"/>
  <c r="D250" i="16"/>
  <c r="C250" i="16"/>
  <c r="D237" i="16"/>
  <c r="C237" i="16"/>
  <c r="D207" i="16"/>
  <c r="C207" i="16"/>
  <c r="D200" i="16"/>
  <c r="C200" i="16"/>
  <c r="D195" i="16"/>
  <c r="C195" i="16"/>
  <c r="D179" i="16"/>
  <c r="C179" i="16"/>
  <c r="D167" i="16"/>
  <c r="C167" i="16"/>
  <c r="D150" i="16"/>
  <c r="C150" i="16"/>
  <c r="D126" i="16"/>
  <c r="C126" i="16"/>
  <c r="D90" i="16"/>
  <c r="C90" i="16"/>
  <c r="D75" i="16"/>
  <c r="C75" i="16"/>
  <c r="D65" i="16"/>
  <c r="C65" i="16"/>
  <c r="D59" i="16"/>
  <c r="C59" i="16"/>
  <c r="D40" i="16"/>
  <c r="C40" i="16"/>
  <c r="D32" i="16"/>
  <c r="C32" i="16"/>
  <c r="D23" i="16"/>
  <c r="C23" i="16"/>
  <c r="D17" i="16"/>
  <c r="C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19" i="14" l="1"/>
  <c r="E97" i="14"/>
  <c r="E94" i="14"/>
  <c r="E92" i="14"/>
  <c r="E91" i="14"/>
  <c r="H34" i="21"/>
  <c r="E96" i="14"/>
  <c r="E93" i="14"/>
  <c r="E95" i="14"/>
  <c r="E90" i="14"/>
  <c r="B25" i="14"/>
  <c r="E25" i="14"/>
  <c r="B26" i="14"/>
  <c r="E26" i="14"/>
  <c r="B27" i="14"/>
  <c r="E27" i="14"/>
  <c r="B28" i="14"/>
  <c r="E28" i="14"/>
  <c r="B30" i="14"/>
  <c r="E30" i="14"/>
  <c r="N290" i="20"/>
  <c r="T290" i="20" s="1"/>
  <c r="V290" i="20" s="1"/>
  <c r="N291" i="20"/>
  <c r="T291" i="20" s="1"/>
  <c r="V291" i="20" s="1"/>
  <c r="N292" i="20"/>
  <c r="T292" i="20" s="1"/>
  <c r="V292" i="20" s="1"/>
  <c r="N293" i="20"/>
  <c r="T293" i="20" s="1"/>
  <c r="V293" i="20" s="1"/>
  <c r="N294" i="20"/>
  <c r="T294" i="20" s="1"/>
  <c r="V294" i="20" s="1"/>
  <c r="N295" i="20"/>
  <c r="T295" i="20" s="1"/>
  <c r="B16" i="14"/>
  <c r="A107" i="14"/>
  <c r="A106" i="14"/>
  <c r="A105" i="14"/>
  <c r="A104" i="14"/>
  <c r="A103" i="14"/>
  <c r="A102" i="14"/>
  <c r="A101" i="14"/>
  <c r="N301" i="20"/>
  <c r="T301" i="20" s="1"/>
  <c r="V301" i="20" s="1"/>
  <c r="N297" i="20"/>
  <c r="T297" i="20" s="1"/>
  <c r="N289" i="20"/>
  <c r="T289" i="20" s="1"/>
  <c r="V289" i="20" s="1"/>
  <c r="N287" i="20"/>
  <c r="T287" i="20" s="1"/>
  <c r="V287" i="20" s="1"/>
  <c r="N283" i="20"/>
  <c r="T283" i="20" s="1"/>
  <c r="V283" i="20" s="1"/>
  <c r="N279" i="20"/>
  <c r="T279" i="20" s="1"/>
  <c r="V279" i="20" s="1"/>
  <c r="N277" i="20"/>
  <c r="T277" i="20" s="1"/>
  <c r="V277" i="20" s="1"/>
  <c r="N275" i="20"/>
  <c r="T275" i="20" s="1"/>
  <c r="V275" i="20" s="1"/>
  <c r="N273" i="20"/>
  <c r="T273" i="20" s="1"/>
  <c r="N271" i="20"/>
  <c r="T271" i="20" s="1"/>
  <c r="V271" i="20" s="1"/>
  <c r="N269" i="20"/>
  <c r="T269" i="20" s="1"/>
  <c r="V269" i="20" s="1"/>
  <c r="N267" i="20"/>
  <c r="T267" i="20" s="1"/>
  <c r="N265" i="20"/>
  <c r="T265" i="20" s="1"/>
  <c r="V265" i="20" s="1"/>
  <c r="N263" i="20"/>
  <c r="T263" i="20" s="1"/>
  <c r="V263" i="20" s="1"/>
  <c r="N261" i="20"/>
  <c r="T261" i="20" s="1"/>
  <c r="V261" i="20" s="1"/>
  <c r="N259" i="20"/>
  <c r="T259" i="20" s="1"/>
  <c r="V259" i="20" s="1"/>
  <c r="N258" i="20"/>
  <c r="T258" i="20" s="1"/>
  <c r="V258" i="20" s="1"/>
  <c r="N256" i="20"/>
  <c r="T256" i="20" s="1"/>
  <c r="N254" i="20"/>
  <c r="T254" i="20" s="1"/>
  <c r="N250" i="20"/>
  <c r="T250" i="20" s="1"/>
  <c r="N246" i="20"/>
  <c r="T246" i="20" s="1"/>
  <c r="V246" i="20" s="1"/>
  <c r="N242" i="20"/>
  <c r="T242" i="20" s="1"/>
  <c r="N238" i="20"/>
  <c r="T238" i="20" s="1"/>
  <c r="B97" i="14"/>
  <c r="B96" i="14"/>
  <c r="B95" i="14"/>
  <c r="B94" i="14"/>
  <c r="B93" i="14"/>
  <c r="B92" i="14"/>
  <c r="B90" i="14"/>
  <c r="E88" i="14"/>
  <c r="B88" i="14"/>
  <c r="B87" i="14"/>
  <c r="B86" i="14"/>
  <c r="B85" i="14"/>
  <c r="B84" i="14"/>
  <c r="B83" i="14"/>
  <c r="B82" i="14"/>
  <c r="B81" i="14"/>
  <c r="B80" i="14"/>
  <c r="B79" i="14"/>
  <c r="B78" i="14"/>
  <c r="B77" i="14"/>
  <c r="B76" i="14"/>
  <c r="E75" i="14"/>
  <c r="B75" i="14"/>
  <c r="E74" i="14"/>
  <c r="B74" i="14"/>
  <c r="B72" i="14"/>
  <c r="E71" i="14"/>
  <c r="B71" i="14"/>
  <c r="E70" i="14"/>
  <c r="B70" i="14"/>
  <c r="E69" i="14"/>
  <c r="B69" i="14"/>
  <c r="E68" i="14"/>
  <c r="B68" i="14"/>
  <c r="E66" i="14"/>
  <c r="B66" i="14"/>
  <c r="E65" i="14"/>
  <c r="B65" i="14"/>
  <c r="E64" i="14"/>
  <c r="B64" i="14"/>
  <c r="E63" i="14"/>
  <c r="B63" i="14"/>
  <c r="E62" i="14"/>
  <c r="B62" i="14"/>
  <c r="B61" i="14"/>
  <c r="E60" i="14"/>
  <c r="B60" i="14"/>
  <c r="E59" i="14"/>
  <c r="B59" i="14"/>
  <c r="E58" i="14"/>
  <c r="B58" i="14"/>
  <c r="E57" i="14"/>
  <c r="B57" i="14"/>
  <c r="E56" i="14"/>
  <c r="B56" i="14"/>
  <c r="E55" i="14"/>
  <c r="B55" i="14"/>
  <c r="E54" i="14"/>
  <c r="B54" i="14"/>
  <c r="E51" i="14"/>
  <c r="B51" i="14"/>
  <c r="E50" i="14"/>
  <c r="B50" i="14"/>
  <c r="E49" i="14"/>
  <c r="B49" i="14"/>
  <c r="E48" i="14"/>
  <c r="B48" i="14"/>
  <c r="E47" i="14"/>
  <c r="B47" i="14"/>
  <c r="E46" i="14"/>
  <c r="B46" i="14"/>
  <c r="E45" i="14"/>
  <c r="B45" i="14"/>
  <c r="E43" i="14"/>
  <c r="B43" i="14"/>
  <c r="E42" i="14"/>
  <c r="B42" i="14"/>
  <c r="E40" i="14"/>
  <c r="B40" i="14"/>
  <c r="E39" i="14"/>
  <c r="B39" i="14"/>
  <c r="E37" i="14"/>
  <c r="B37" i="14"/>
  <c r="E36" i="14"/>
  <c r="B36" i="14"/>
  <c r="B35" i="14"/>
  <c r="E33" i="14"/>
  <c r="B33" i="14"/>
  <c r="E32" i="14"/>
  <c r="B32" i="14"/>
  <c r="E31" i="14"/>
  <c r="B31" i="14"/>
  <c r="E24" i="14"/>
  <c r="B24" i="14"/>
  <c r="B17" i="14"/>
  <c r="B15" i="14"/>
  <c r="B14" i="14"/>
  <c r="B13" i="14"/>
  <c r="A65" i="13"/>
  <c r="A64" i="13"/>
  <c r="A63" i="13"/>
  <c r="A62" i="13"/>
  <c r="A61" i="13"/>
  <c r="A60" i="13"/>
  <c r="A59" i="13"/>
  <c r="N333" i="20"/>
  <c r="N330" i="20"/>
  <c r="T330" i="20" s="1"/>
  <c r="N329" i="20"/>
  <c r="N326" i="20"/>
  <c r="N325" i="20"/>
  <c r="N322" i="20"/>
  <c r="T322" i="20" s="1"/>
  <c r="V322" i="20" s="1"/>
  <c r="N321" i="20"/>
  <c r="N318" i="20"/>
  <c r="N317" i="20"/>
  <c r="N313" i="20"/>
  <c r="N310" i="20"/>
  <c r="N306" i="20"/>
  <c r="N305" i="20"/>
  <c r="B55" i="13"/>
  <c r="B346" i="22" s="1"/>
  <c r="B54" i="13"/>
  <c r="B345" i="22" s="1"/>
  <c r="B53" i="13"/>
  <c r="B344" i="22" s="1"/>
  <c r="B52" i="13"/>
  <c r="B343" i="22" s="1"/>
  <c r="B51" i="13"/>
  <c r="B342" i="22" s="1"/>
  <c r="B50" i="13"/>
  <c r="B341" i="22" s="1"/>
  <c r="B48" i="13"/>
  <c r="B339" i="22" s="1"/>
  <c r="B47" i="13"/>
  <c r="B338" i="22" s="1"/>
  <c r="B46" i="13"/>
  <c r="B337" i="22" s="1"/>
  <c r="B45" i="13"/>
  <c r="B336" i="22" s="1"/>
  <c r="B44" i="13"/>
  <c r="B335" i="22" s="1"/>
  <c r="B43" i="13"/>
  <c r="B334" i="22" s="1"/>
  <c r="B42" i="13"/>
  <c r="B333" i="22" s="1"/>
  <c r="B41" i="13"/>
  <c r="B332" i="22" s="1"/>
  <c r="B39" i="13"/>
  <c r="B330" i="22" s="1"/>
  <c r="B38" i="13"/>
  <c r="B329" i="22" s="1"/>
  <c r="B37" i="13"/>
  <c r="B328" i="22" s="1"/>
  <c r="B36" i="13"/>
  <c r="B327" i="22" s="1"/>
  <c r="B35" i="13"/>
  <c r="B326" i="22" s="1"/>
  <c r="B33" i="13"/>
  <c r="B324" i="22" s="1"/>
  <c r="B32" i="13"/>
  <c r="B323" i="22" s="1"/>
  <c r="B31" i="13"/>
  <c r="B322" i="22" s="1"/>
  <c r="B30" i="13"/>
  <c r="B321" i="22" s="1"/>
  <c r="B29" i="13"/>
  <c r="B320" i="22" s="1"/>
  <c r="B27" i="13"/>
  <c r="B318" i="22" s="1"/>
  <c r="B26" i="13"/>
  <c r="B317" i="22" s="1"/>
  <c r="B25" i="13"/>
  <c r="B316" i="22" s="1"/>
  <c r="B24" i="13"/>
  <c r="B315" i="22" s="1"/>
  <c r="B23" i="13"/>
  <c r="B314" i="22" s="1"/>
  <c r="B21" i="13"/>
  <c r="B312" i="22" s="1"/>
  <c r="B20" i="13"/>
  <c r="B311" i="22" s="1"/>
  <c r="D18" i="13"/>
  <c r="C18" i="13"/>
  <c r="E32" i="13" s="1"/>
  <c r="B18" i="13"/>
  <c r="B16" i="13"/>
  <c r="B15" i="13"/>
  <c r="B14" i="13"/>
  <c r="B13" i="13"/>
  <c r="N230" i="20"/>
  <c r="N231" i="20"/>
  <c r="N234" i="20"/>
  <c r="N61" i="20"/>
  <c r="T61" i="20" s="1"/>
  <c r="N62" i="20"/>
  <c r="N187" i="20"/>
  <c r="N188" i="20"/>
  <c r="N190" i="20"/>
  <c r="N191" i="20"/>
  <c r="T191" i="20" s="1"/>
  <c r="N194" i="20"/>
  <c r="N195" i="20"/>
  <c r="N198" i="20"/>
  <c r="N199" i="20"/>
  <c r="N202" i="20"/>
  <c r="N203" i="20"/>
  <c r="N206" i="20"/>
  <c r="N207" i="20"/>
  <c r="N208" i="20"/>
  <c r="N210" i="20"/>
  <c r="N211" i="20"/>
  <c r="T211" i="20" s="1"/>
  <c r="N214" i="20"/>
  <c r="T214" i="20" s="1"/>
  <c r="N216" i="20"/>
  <c r="N218" i="20"/>
  <c r="N219" i="20"/>
  <c r="N220" i="20"/>
  <c r="N222" i="20"/>
  <c r="N226" i="20"/>
  <c r="N58" i="20"/>
  <c r="B24" i="12"/>
  <c r="B247" i="22" s="1"/>
  <c r="B25" i="12"/>
  <c r="B26" i="12"/>
  <c r="B250" i="22" s="1"/>
  <c r="B27" i="12"/>
  <c r="B251" i="22" s="1"/>
  <c r="B28" i="12"/>
  <c r="B252" i="22" s="1"/>
  <c r="B29" i="12"/>
  <c r="B253" i="22" s="1"/>
  <c r="B30" i="12"/>
  <c r="B254" i="22" s="1"/>
  <c r="B31" i="12"/>
  <c r="B255" i="22" s="1"/>
  <c r="D21" i="12"/>
  <c r="C21" i="12"/>
  <c r="E80" i="12" s="1"/>
  <c r="B21" i="12"/>
  <c r="D20" i="12"/>
  <c r="B20" i="12"/>
  <c r="D19" i="12"/>
  <c r="C19" i="12"/>
  <c r="B19" i="12"/>
  <c r="D18" i="12"/>
  <c r="C18" i="12"/>
  <c r="B18" i="12"/>
  <c r="D18" i="9"/>
  <c r="C18" i="9"/>
  <c r="E36" i="9" s="1"/>
  <c r="E144" i="22" s="1"/>
  <c r="E169" i="25" s="1"/>
  <c r="B18" i="9"/>
  <c r="D18" i="10"/>
  <c r="C18" i="10"/>
  <c r="E59" i="10" s="1"/>
  <c r="B18" i="10"/>
  <c r="D18" i="11"/>
  <c r="C18" i="11"/>
  <c r="B18" i="11"/>
  <c r="A94" i="12"/>
  <c r="A93" i="12"/>
  <c r="A92" i="12"/>
  <c r="A91" i="12"/>
  <c r="A90" i="12"/>
  <c r="A89" i="12"/>
  <c r="A88" i="12"/>
  <c r="B85" i="12"/>
  <c r="B309" i="22" s="1"/>
  <c r="B84" i="12"/>
  <c r="B308" i="22" s="1"/>
  <c r="B83" i="12"/>
  <c r="B307" i="22" s="1"/>
  <c r="B82" i="12"/>
  <c r="B306" i="22" s="1"/>
  <c r="B81" i="12"/>
  <c r="B305" i="22" s="1"/>
  <c r="B80" i="12"/>
  <c r="B304" i="22" s="1"/>
  <c r="B79" i="12"/>
  <c r="B303" i="22" s="1"/>
  <c r="B78" i="12"/>
  <c r="B302" i="22" s="1"/>
  <c r="B77" i="12"/>
  <c r="B301" i="22" s="1"/>
  <c r="B76" i="12"/>
  <c r="B300" i="22" s="1"/>
  <c r="B74" i="12"/>
  <c r="B298" i="22" s="1"/>
  <c r="B73" i="12"/>
  <c r="B297" i="22" s="1"/>
  <c r="B72" i="12"/>
  <c r="B296" i="22" s="1"/>
  <c r="B71" i="12"/>
  <c r="B295" i="22" s="1"/>
  <c r="B70" i="12"/>
  <c r="B294" i="22" s="1"/>
  <c r="B69" i="12"/>
  <c r="B293" i="22" s="1"/>
  <c r="B68" i="12"/>
  <c r="B292" i="22" s="1"/>
  <c r="B67" i="12"/>
  <c r="B291" i="22" s="1"/>
  <c r="B66" i="12"/>
  <c r="B290" i="22" s="1"/>
  <c r="B65" i="12"/>
  <c r="B289" i="22" s="1"/>
  <c r="B64" i="12"/>
  <c r="B288" i="22" s="1"/>
  <c r="B63" i="12"/>
  <c r="B287" i="22" s="1"/>
  <c r="B61" i="12"/>
  <c r="B285" i="22" s="1"/>
  <c r="B60" i="12"/>
  <c r="B284" i="22" s="1"/>
  <c r="B59" i="12"/>
  <c r="B283" i="22" s="1"/>
  <c r="B58" i="12"/>
  <c r="B282" i="22" s="1"/>
  <c r="B57" i="12"/>
  <c r="B281" i="22" s="1"/>
  <c r="B56" i="12"/>
  <c r="B280" i="22" s="1"/>
  <c r="B55" i="12"/>
  <c r="B279" i="22" s="1"/>
  <c r="B54" i="12"/>
  <c r="B278" i="22" s="1"/>
  <c r="B53" i="12"/>
  <c r="B277" i="22" s="1"/>
  <c r="B52" i="12"/>
  <c r="B276" i="22" s="1"/>
  <c r="B51" i="12"/>
  <c r="B275" i="22" s="1"/>
  <c r="B50" i="12"/>
  <c r="B274" i="22" s="1"/>
  <c r="B49" i="12"/>
  <c r="B273" i="22" s="1"/>
  <c r="B48" i="12"/>
  <c r="B272" i="22" s="1"/>
  <c r="B47" i="12"/>
  <c r="B271" i="22" s="1"/>
  <c r="B46" i="12"/>
  <c r="B270" i="22" s="1"/>
  <c r="B45" i="12"/>
  <c r="B269" i="22" s="1"/>
  <c r="B44" i="12"/>
  <c r="B268" i="22" s="1"/>
  <c r="B43" i="12"/>
  <c r="B267" i="22" s="1"/>
  <c r="B42" i="12"/>
  <c r="B266" i="22" s="1"/>
  <c r="B41" i="12"/>
  <c r="B265" i="22" s="1"/>
  <c r="B40" i="12"/>
  <c r="B264" i="22" s="1"/>
  <c r="B39" i="12"/>
  <c r="B263" i="22" s="1"/>
  <c r="B38" i="12"/>
  <c r="B262" i="22" s="1"/>
  <c r="B37" i="12"/>
  <c r="B261" i="22" s="1"/>
  <c r="B36" i="12"/>
  <c r="B260" i="22" s="1"/>
  <c r="B35" i="12"/>
  <c r="B259" i="22" s="1"/>
  <c r="B34" i="12"/>
  <c r="B258" i="22" s="1"/>
  <c r="B33" i="12"/>
  <c r="B257" i="22" s="1"/>
  <c r="B23" i="12"/>
  <c r="B246" i="22" s="1"/>
  <c r="B16" i="12"/>
  <c r="B15" i="12"/>
  <c r="B14" i="12"/>
  <c r="B13" i="12"/>
  <c r="N38" i="20"/>
  <c r="N42" i="20"/>
  <c r="N44" i="20"/>
  <c r="N49" i="20"/>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N183" i="20"/>
  <c r="T183" i="20" s="1"/>
  <c r="N182" i="20"/>
  <c r="T182" i="20" s="1"/>
  <c r="N179" i="20"/>
  <c r="N178" i="20"/>
  <c r="N177" i="20"/>
  <c r="N158" i="20"/>
  <c r="N157" i="20"/>
  <c r="A78" i="10"/>
  <c r="A79" i="10"/>
  <c r="A80" i="10"/>
  <c r="A81" i="10"/>
  <c r="A82" i="10"/>
  <c r="A83" i="10"/>
  <c r="A84" i="10"/>
  <c r="N154" i="20"/>
  <c r="N153" i="20"/>
  <c r="T153" i="20" s="1"/>
  <c r="N151" i="20"/>
  <c r="N149" i="20"/>
  <c r="N147" i="20"/>
  <c r="N77" i="20"/>
  <c r="T77" i="20" s="1"/>
  <c r="N70" i="20"/>
  <c r="N69" i="20"/>
  <c r="T69" i="20" s="1"/>
  <c r="D186" i="22"/>
  <c r="D190" i="25" s="1"/>
  <c r="E57" i="8"/>
  <c r="E58" i="8"/>
  <c r="E59" i="8"/>
  <c r="E60" i="8"/>
  <c r="E61" i="8"/>
  <c r="E62" i="8"/>
  <c r="E63" i="8"/>
  <c r="E64" i="8"/>
  <c r="E65" i="8"/>
  <c r="E66" i="8"/>
  <c r="E23" i="8"/>
  <c r="E24" i="8"/>
  <c r="E25" i="8"/>
  <c r="E26" i="8"/>
  <c r="E27" i="8"/>
  <c r="E28" i="8"/>
  <c r="E30" i="8"/>
  <c r="E31" i="8"/>
  <c r="E32" i="8"/>
  <c r="E33" i="8"/>
  <c r="E34" i="8"/>
  <c r="E36" i="8"/>
  <c r="E39" i="8"/>
  <c r="E40" i="8"/>
  <c r="E41" i="8"/>
  <c r="E42" i="8"/>
  <c r="E43" i="8"/>
  <c r="E44" i="8"/>
  <c r="E45" i="8"/>
  <c r="E46" i="8"/>
  <c r="E47" i="8"/>
  <c r="E48" i="8"/>
  <c r="E49" i="8"/>
  <c r="E50" i="8"/>
  <c r="E51" i="8"/>
  <c r="E53" i="8"/>
  <c r="E54" i="8"/>
  <c r="E55" i="8"/>
  <c r="E56" i="8"/>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200" i="22"/>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N133" i="20"/>
  <c r="N127" i="20"/>
  <c r="T127" i="20" s="1"/>
  <c r="N123" i="20"/>
  <c r="N121" i="20"/>
  <c r="T121" i="20" s="1"/>
  <c r="N119" i="20"/>
  <c r="N115" i="20"/>
  <c r="T115" i="20" s="1"/>
  <c r="N95" i="20"/>
  <c r="T95" i="20" s="1"/>
  <c r="B61" i="9"/>
  <c r="B169" i="22" s="1"/>
  <c r="B168" i="22"/>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N173" i="20"/>
  <c r="N172" i="20"/>
  <c r="N170" i="20"/>
  <c r="N166" i="20"/>
  <c r="T166" i="20" s="1"/>
  <c r="N165" i="20"/>
  <c r="N164" i="20"/>
  <c r="A72" i="8"/>
  <c r="A73" i="8"/>
  <c r="A74" i="8"/>
  <c r="A75" i="8"/>
  <c r="A76" i="8"/>
  <c r="A77" i="8"/>
  <c r="N162" i="20"/>
  <c r="N109" i="20"/>
  <c r="N108" i="20"/>
  <c r="N107" i="20"/>
  <c r="N105" i="20"/>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29" i="4"/>
  <c r="B72" i="22" s="1"/>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81" i="22"/>
  <c r="D136" i="25" s="1"/>
  <c r="B22" i="8"/>
  <c r="B81" i="22" s="1"/>
  <c r="E24" i="4"/>
  <c r="E25" i="4"/>
  <c r="E26" i="4"/>
  <c r="E27" i="4"/>
  <c r="E29" i="4"/>
  <c r="E30" i="4"/>
  <c r="E31" i="4"/>
  <c r="E32" i="4"/>
  <c r="E33" i="4"/>
  <c r="E34" i="4"/>
  <c r="E23" i="4"/>
  <c r="E32" i="10" l="1"/>
  <c r="E55" i="10"/>
  <c r="D92" i="22"/>
  <c r="D149" i="25" s="1"/>
  <c r="E92" i="22"/>
  <c r="D74" i="22"/>
  <c r="E74" i="22"/>
  <c r="D110" i="22"/>
  <c r="E110" i="22"/>
  <c r="D102" i="22"/>
  <c r="E102" i="22"/>
  <c r="D93" i="22"/>
  <c r="E93" i="22"/>
  <c r="D84" i="22"/>
  <c r="D138" i="25" s="1"/>
  <c r="E84" i="22"/>
  <c r="D121" i="22"/>
  <c r="D202" i="25" s="1"/>
  <c r="E121" i="22"/>
  <c r="D55" i="25"/>
  <c r="E55" i="25"/>
  <c r="D60" i="25"/>
  <c r="E60" i="25"/>
  <c r="D66" i="25"/>
  <c r="E66" i="25"/>
  <c r="D71" i="25"/>
  <c r="E71" i="25"/>
  <c r="D77" i="25"/>
  <c r="E77" i="25"/>
  <c r="D81" i="25"/>
  <c r="E81" i="25"/>
  <c r="E85" i="25"/>
  <c r="D89" i="25"/>
  <c r="E89" i="25"/>
  <c r="D94" i="25"/>
  <c r="E94" i="25"/>
  <c r="D99" i="25"/>
  <c r="E99" i="25"/>
  <c r="D103" i="25"/>
  <c r="E103" i="25"/>
  <c r="D107" i="25"/>
  <c r="E107" i="25"/>
  <c r="D111" i="25"/>
  <c r="E111" i="25"/>
  <c r="D114" i="25"/>
  <c r="E114" i="25"/>
  <c r="D101" i="22"/>
  <c r="E101" i="22"/>
  <c r="D108" i="22"/>
  <c r="E108" i="22"/>
  <c r="D100" i="22"/>
  <c r="E100" i="22"/>
  <c r="D91" i="22"/>
  <c r="D148" i="25" s="1"/>
  <c r="E91" i="22"/>
  <c r="D82" i="22"/>
  <c r="E82" i="22"/>
  <c r="D119" i="22"/>
  <c r="E119" i="22"/>
  <c r="D56" i="25"/>
  <c r="E56" i="25"/>
  <c r="D62" i="25"/>
  <c r="E62" i="25"/>
  <c r="D68" i="25"/>
  <c r="E68" i="25"/>
  <c r="D72" i="25"/>
  <c r="E72" i="25"/>
  <c r="D78" i="25"/>
  <c r="E78" i="25"/>
  <c r="D82" i="25"/>
  <c r="E82" i="25"/>
  <c r="D86" i="25"/>
  <c r="E86" i="25"/>
  <c r="D91" i="25"/>
  <c r="E91" i="25"/>
  <c r="D95" i="25"/>
  <c r="E95" i="25"/>
  <c r="D100" i="25"/>
  <c r="E100" i="25"/>
  <c r="D104" i="25"/>
  <c r="E104" i="25"/>
  <c r="D108" i="25"/>
  <c r="E108" i="25"/>
  <c r="D49" i="25"/>
  <c r="E49" i="25"/>
  <c r="D117" i="25"/>
  <c r="E117" i="25"/>
  <c r="D83" i="22"/>
  <c r="D137" i="25" s="1"/>
  <c r="E83" i="22"/>
  <c r="D53" i="25"/>
  <c r="E53" i="25"/>
  <c r="D118" i="25"/>
  <c r="E118" i="25"/>
  <c r="D72" i="22"/>
  <c r="E72" i="22"/>
  <c r="D70" i="22"/>
  <c r="E70" i="22"/>
  <c r="D107" i="22"/>
  <c r="E107" i="22"/>
  <c r="D99" i="22"/>
  <c r="E99" i="22"/>
  <c r="D90" i="22"/>
  <c r="D147" i="25" s="1"/>
  <c r="E90" i="22"/>
  <c r="D126" i="22"/>
  <c r="D206" i="25" s="1"/>
  <c r="E126" i="22"/>
  <c r="D118" i="22"/>
  <c r="E118" i="22"/>
  <c r="D116" i="25"/>
  <c r="E116" i="25"/>
  <c r="D120" i="22"/>
  <c r="E120" i="22"/>
  <c r="D66" i="22"/>
  <c r="D126" i="25" s="1"/>
  <c r="E66" i="22"/>
  <c r="D69" i="22"/>
  <c r="D129" i="25" s="1"/>
  <c r="E69" i="22"/>
  <c r="D115" i="22"/>
  <c r="D201" i="25" s="1"/>
  <c r="E115" i="22"/>
  <c r="D106" i="22"/>
  <c r="E106" i="22"/>
  <c r="D98" i="22"/>
  <c r="E98" i="22"/>
  <c r="D89" i="22"/>
  <c r="D146" i="25" s="1"/>
  <c r="E89" i="22"/>
  <c r="D125" i="22"/>
  <c r="D205" i="25" s="1"/>
  <c r="E125" i="22"/>
  <c r="D117" i="22"/>
  <c r="E117" i="22"/>
  <c r="D47" i="25"/>
  <c r="E47" i="25"/>
  <c r="D58" i="25"/>
  <c r="E58" i="25"/>
  <c r="D63" i="25"/>
  <c r="E63" i="25"/>
  <c r="D69" i="25"/>
  <c r="E69" i="25"/>
  <c r="D73" i="25"/>
  <c r="E73" i="25"/>
  <c r="D79" i="25"/>
  <c r="E79" i="25"/>
  <c r="D83" i="25"/>
  <c r="E83" i="25"/>
  <c r="D87" i="25"/>
  <c r="E87" i="25"/>
  <c r="D92" i="25"/>
  <c r="E92" i="25"/>
  <c r="D97" i="25"/>
  <c r="E97" i="25"/>
  <c r="D101" i="25"/>
  <c r="E101" i="25"/>
  <c r="D105" i="25"/>
  <c r="E105" i="25"/>
  <c r="D109" i="25"/>
  <c r="E109" i="25"/>
  <c r="D51" i="25"/>
  <c r="E51" i="25"/>
  <c r="D115" i="25"/>
  <c r="E115" i="25"/>
  <c r="D109" i="22"/>
  <c r="E109" i="22"/>
  <c r="D114" i="22"/>
  <c r="D200" i="25" s="1"/>
  <c r="E114" i="22"/>
  <c r="D105" i="22"/>
  <c r="E105" i="22"/>
  <c r="D97" i="22"/>
  <c r="E97" i="22"/>
  <c r="D87" i="22"/>
  <c r="D141" i="25" s="1"/>
  <c r="E87" i="22"/>
  <c r="D124" i="22"/>
  <c r="E124" i="22"/>
  <c r="D116" i="22"/>
  <c r="E116" i="22"/>
  <c r="D48" i="25"/>
  <c r="E48" i="25"/>
  <c r="D120" i="25"/>
  <c r="E120" i="25"/>
  <c r="D77" i="22"/>
  <c r="D133" i="25" s="1"/>
  <c r="E77" i="22"/>
  <c r="D68" i="22"/>
  <c r="D128" i="25" s="1"/>
  <c r="E68" i="22"/>
  <c r="D76" i="22"/>
  <c r="D132" i="25" s="1"/>
  <c r="E76" i="22"/>
  <c r="D67" i="22"/>
  <c r="D127" i="25" s="1"/>
  <c r="E67" i="22"/>
  <c r="D113" i="22"/>
  <c r="E113" i="22"/>
  <c r="D104" i="22"/>
  <c r="E104" i="22"/>
  <c r="D96" i="22"/>
  <c r="D172" i="25" s="1"/>
  <c r="E96" i="22"/>
  <c r="D86" i="22"/>
  <c r="D140" i="25" s="1"/>
  <c r="E86" i="22"/>
  <c r="D123" i="22"/>
  <c r="D204" i="25" s="1"/>
  <c r="E123" i="22"/>
  <c r="D54" i="25"/>
  <c r="E54" i="25"/>
  <c r="D59" i="25"/>
  <c r="E59" i="25"/>
  <c r="D65" i="25"/>
  <c r="E65" i="25"/>
  <c r="D70" i="25"/>
  <c r="E70" i="25"/>
  <c r="D74" i="25"/>
  <c r="E74" i="25"/>
  <c r="D80" i="25"/>
  <c r="E80" i="25"/>
  <c r="E84" i="25"/>
  <c r="D88" i="25"/>
  <c r="E88" i="25"/>
  <c r="D93" i="25"/>
  <c r="E93" i="25"/>
  <c r="D98" i="25"/>
  <c r="E98" i="25"/>
  <c r="D102" i="25"/>
  <c r="E102" i="25"/>
  <c r="D106" i="25"/>
  <c r="E106" i="25"/>
  <c r="D110" i="25"/>
  <c r="E110" i="25"/>
  <c r="D119" i="25"/>
  <c r="E119" i="25"/>
  <c r="D73" i="22"/>
  <c r="E73" i="22"/>
  <c r="D75" i="22"/>
  <c r="D131" i="25" s="1"/>
  <c r="E75" i="22"/>
  <c r="D112" i="22"/>
  <c r="E112" i="22"/>
  <c r="D103" i="22"/>
  <c r="E103" i="22"/>
  <c r="D95" i="22"/>
  <c r="D171" i="25" s="1"/>
  <c r="E95" i="22"/>
  <c r="D85" i="22"/>
  <c r="D139" i="25" s="1"/>
  <c r="E85" i="22"/>
  <c r="D122" i="22"/>
  <c r="D203" i="25" s="1"/>
  <c r="E122" i="22"/>
  <c r="D50" i="25"/>
  <c r="E50" i="25"/>
  <c r="D113" i="25"/>
  <c r="E113" i="25"/>
  <c r="V238" i="20"/>
  <c r="A9" i="21"/>
  <c r="C9" i="21" s="1"/>
  <c r="E35" i="13"/>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9" i="22"/>
  <c r="B248" i="22"/>
  <c r="A13" i="22"/>
  <c r="C13" i="22" s="1"/>
  <c r="A11" i="22"/>
  <c r="C11" i="22" s="1"/>
  <c r="A12" i="22"/>
  <c r="C12" i="22" s="1"/>
  <c r="K4" i="20"/>
  <c r="N4" i="20"/>
  <c r="A14" i="22"/>
  <c r="C14" i="22" s="1"/>
  <c r="K173" i="20"/>
  <c r="O173" i="20" s="1"/>
  <c r="K203" i="20"/>
  <c r="O203" i="20" s="1"/>
  <c r="K279" i="20"/>
  <c r="O279" i="20" s="1"/>
  <c r="K108" i="20"/>
  <c r="O108" i="20" s="1"/>
  <c r="K166" i="20"/>
  <c r="O166" i="20" s="1"/>
  <c r="K115" i="20"/>
  <c r="O115" i="20" s="1"/>
  <c r="K123" i="20"/>
  <c r="O123" i="20" s="1"/>
  <c r="K69" i="20"/>
  <c r="O69" i="20" s="1"/>
  <c r="K77" i="20"/>
  <c r="O77" i="20" s="1"/>
  <c r="K147" i="20"/>
  <c r="O147" i="20" s="1"/>
  <c r="K179" i="20"/>
  <c r="O179" i="20" s="1"/>
  <c r="K226" i="20"/>
  <c r="O226" i="20" s="1"/>
  <c r="K218" i="20"/>
  <c r="O218" i="20" s="1"/>
  <c r="K210" i="20"/>
  <c r="O210" i="20" s="1"/>
  <c r="K202" i="20"/>
  <c r="O202" i="20" s="1"/>
  <c r="K194" i="20"/>
  <c r="O194" i="20" s="1"/>
  <c r="K234" i="20"/>
  <c r="O234" i="20" s="1"/>
  <c r="K305" i="20"/>
  <c r="O305" i="20" s="1"/>
  <c r="K313" i="20"/>
  <c r="O313" i="20" s="1"/>
  <c r="K322" i="20"/>
  <c r="O322" i="20" s="1"/>
  <c r="K330" i="20"/>
  <c r="O330" i="20" s="1"/>
  <c r="K261" i="20"/>
  <c r="O261" i="20" s="1"/>
  <c r="K292" i="20"/>
  <c r="O292" i="20" s="1"/>
  <c r="K219" i="20"/>
  <c r="O219" i="20" s="1"/>
  <c r="K269" i="20"/>
  <c r="O269" i="20" s="1"/>
  <c r="K44" i="20"/>
  <c r="O44" i="20" s="1"/>
  <c r="K133" i="20"/>
  <c r="O133" i="20" s="1"/>
  <c r="K149" i="20"/>
  <c r="O149" i="20" s="1"/>
  <c r="K158" i="20"/>
  <c r="O158" i="20" s="1"/>
  <c r="K216" i="20"/>
  <c r="O216" i="20" s="1"/>
  <c r="K208" i="20"/>
  <c r="O208" i="20" s="1"/>
  <c r="K62" i="20"/>
  <c r="O62" i="20" s="1"/>
  <c r="K263" i="20"/>
  <c r="O263" i="20" s="1"/>
  <c r="K273" i="20"/>
  <c r="O273" i="20" s="1"/>
  <c r="K283" i="20"/>
  <c r="O283" i="20" s="1"/>
  <c r="K290" i="20"/>
  <c r="O290" i="20" s="1"/>
  <c r="K165" i="20"/>
  <c r="O165" i="20" s="1"/>
  <c r="K187" i="20"/>
  <c r="O187" i="20" s="1"/>
  <c r="K321" i="20"/>
  <c r="O321" i="20" s="1"/>
  <c r="K259" i="20"/>
  <c r="O259" i="20" s="1"/>
  <c r="K109" i="20"/>
  <c r="O109" i="20" s="1"/>
  <c r="K70" i="20"/>
  <c r="O70" i="20" s="1"/>
  <c r="K199" i="20"/>
  <c r="O199" i="20" s="1"/>
  <c r="K191" i="20"/>
  <c r="O191" i="20" s="1"/>
  <c r="K61" i="20"/>
  <c r="O61" i="20" s="1"/>
  <c r="K231" i="20"/>
  <c r="O231" i="20" s="1"/>
  <c r="K317" i="20"/>
  <c r="O317" i="20" s="1"/>
  <c r="K325" i="20"/>
  <c r="O325" i="20" s="1"/>
  <c r="K333" i="20"/>
  <c r="O333" i="20" s="1"/>
  <c r="K254" i="20"/>
  <c r="O254" i="20" s="1"/>
  <c r="K265" i="20"/>
  <c r="O265" i="20" s="1"/>
  <c r="K107" i="20"/>
  <c r="O107" i="20" s="1"/>
  <c r="K178" i="20"/>
  <c r="O178" i="20" s="1"/>
  <c r="K38" i="20"/>
  <c r="O38" i="20" s="1"/>
  <c r="K211" i="20"/>
  <c r="O211" i="20" s="1"/>
  <c r="K289" i="20"/>
  <c r="O289" i="20" s="1"/>
  <c r="K293" i="20"/>
  <c r="O293" i="20" s="1"/>
  <c r="K271" i="20"/>
  <c r="O271" i="20" s="1"/>
  <c r="K42" i="20"/>
  <c r="O42" i="20" s="1"/>
  <c r="K207" i="20"/>
  <c r="O207" i="20" s="1"/>
  <c r="K170" i="20"/>
  <c r="O170" i="20" s="1"/>
  <c r="K95" i="20"/>
  <c r="K119" i="20"/>
  <c r="O119" i="20" s="1"/>
  <c r="K127" i="20"/>
  <c r="O127" i="20" s="1"/>
  <c r="K151" i="20"/>
  <c r="O151" i="20" s="1"/>
  <c r="K183" i="20"/>
  <c r="O183" i="20" s="1"/>
  <c r="K49" i="20"/>
  <c r="O49" i="20" s="1"/>
  <c r="K58" i="20"/>
  <c r="O58" i="20" s="1"/>
  <c r="K222" i="20"/>
  <c r="O222" i="20" s="1"/>
  <c r="K214" i="20"/>
  <c r="O214" i="20" s="1"/>
  <c r="K206" i="20"/>
  <c r="O206" i="20" s="1"/>
  <c r="K198" i="20"/>
  <c r="O198" i="20" s="1"/>
  <c r="K190" i="20"/>
  <c r="O190" i="20" s="1"/>
  <c r="K230" i="20"/>
  <c r="O230" i="20" s="1"/>
  <c r="K318" i="20"/>
  <c r="O318" i="20" s="1"/>
  <c r="K326" i="20"/>
  <c r="O326" i="20" s="1"/>
  <c r="K256" i="20"/>
  <c r="O256" i="20" s="1"/>
  <c r="K275" i="20"/>
  <c r="O275" i="20" s="1"/>
  <c r="K301" i="20"/>
  <c r="O301" i="20" s="1"/>
  <c r="K154" i="20"/>
  <c r="O154" i="20" s="1"/>
  <c r="K195" i="20"/>
  <c r="O195" i="20" s="1"/>
  <c r="K250" i="20"/>
  <c r="O250" i="20" s="1"/>
  <c r="K242" i="20"/>
  <c r="O242" i="20" s="1"/>
  <c r="K182" i="20"/>
  <c r="O182" i="20" s="1"/>
  <c r="K105" i="20"/>
  <c r="O105" i="20" s="1"/>
  <c r="K162" i="20"/>
  <c r="O162" i="20" s="1"/>
  <c r="K310" i="20"/>
  <c r="O310" i="20" s="1"/>
  <c r="K246" i="20"/>
  <c r="O246" i="20" s="1"/>
  <c r="K267" i="20"/>
  <c r="O267" i="20" s="1"/>
  <c r="K277" i="20"/>
  <c r="O277" i="20" s="1"/>
  <c r="K287" i="20"/>
  <c r="O287" i="20" s="1"/>
  <c r="K295" i="20"/>
  <c r="O295" i="20" s="1"/>
  <c r="K329" i="20"/>
  <c r="O329" i="20" s="1"/>
  <c r="K238" i="20"/>
  <c r="K157" i="20"/>
  <c r="O157" i="20" s="1"/>
  <c r="K306" i="20"/>
  <c r="O306" i="20" s="1"/>
  <c r="K297" i="20"/>
  <c r="O297" i="20" s="1"/>
  <c r="K291" i="20"/>
  <c r="O291" i="20" s="1"/>
  <c r="K164" i="20"/>
  <c r="O164" i="20" s="1"/>
  <c r="K172" i="20"/>
  <c r="O172" i="20" s="1"/>
  <c r="K121" i="20"/>
  <c r="O121" i="20" s="1"/>
  <c r="K153" i="20"/>
  <c r="O153" i="20" s="1"/>
  <c r="K177" i="20"/>
  <c r="O177" i="20" s="1"/>
  <c r="K220" i="20"/>
  <c r="O220" i="20" s="1"/>
  <c r="K188" i="20"/>
  <c r="O188" i="20" s="1"/>
  <c r="K258" i="20"/>
  <c r="O258" i="20" s="1"/>
  <c r="K294" i="20"/>
  <c r="O294" i="20" s="1"/>
  <c r="N314" i="20"/>
  <c r="N309" i="20"/>
  <c r="N215" i="20"/>
  <c r="N186" i="20"/>
  <c r="T186" i="20" s="1"/>
  <c r="N55" i="20"/>
  <c r="N176" i="20"/>
  <c r="N150" i="20"/>
  <c r="T150" i="20" s="1"/>
  <c r="N135" i="20"/>
  <c r="N25" i="20"/>
  <c r="N39" i="20"/>
  <c r="N13" i="20"/>
  <c r="T13" i="20" s="1"/>
  <c r="V13" i="20" s="1"/>
  <c r="N22" i="20"/>
  <c r="N21" i="20"/>
  <c r="N41" i="20"/>
  <c r="N48" i="20"/>
  <c r="N40" i="20"/>
  <c r="N169" i="20"/>
  <c r="N312" i="20"/>
  <c r="N139" i="20"/>
  <c r="N141" i="20"/>
  <c r="N54" i="20"/>
  <c r="N53" i="20"/>
  <c r="T53" i="20" s="1"/>
  <c r="N28" i="20"/>
  <c r="N103" i="20"/>
  <c r="N102" i="20"/>
  <c r="T102" i="20" s="1"/>
  <c r="N97" i="20"/>
  <c r="N30" i="20"/>
  <c r="T30" i="20" s="1"/>
  <c r="N29" i="20"/>
  <c r="N101" i="20"/>
  <c r="N52" i="20"/>
  <c r="T52" i="20" s="1"/>
  <c r="N27" i="20"/>
  <c r="N100" i="20"/>
  <c r="N51" i="20"/>
  <c r="T51" i="20" s="1"/>
  <c r="N26" i="20"/>
  <c r="N99" i="20"/>
  <c r="T99" i="20" s="1"/>
  <c r="N50" i="20"/>
  <c r="T50" i="20" s="1"/>
  <c r="N171" i="20"/>
  <c r="N98" i="20"/>
  <c r="N31" i="20"/>
  <c r="T31" i="20" s="1"/>
  <c r="N20" i="20"/>
  <c r="E51" i="13"/>
  <c r="E43" i="13"/>
  <c r="E52" i="13"/>
  <c r="E44" i="13"/>
  <c r="E53" i="13"/>
  <c r="E45" i="13"/>
  <c r="E54" i="13"/>
  <c r="E46" i="13"/>
  <c r="E55" i="13"/>
  <c r="E47" i="13"/>
  <c r="E42" i="13"/>
  <c r="E48" i="13"/>
  <c r="E50" i="13"/>
  <c r="E18" i="13"/>
  <c r="E41" i="13"/>
  <c r="E25" i="13"/>
  <c r="E21" i="13"/>
  <c r="E33" i="13"/>
  <c r="E26" i="13"/>
  <c r="E20" i="13"/>
  <c r="E36" i="13"/>
  <c r="E27" i="13"/>
  <c r="E37" i="13"/>
  <c r="E29" i="13"/>
  <c r="E38" i="13"/>
  <c r="E30" i="13"/>
  <c r="E39" i="13"/>
  <c r="E31" i="13"/>
  <c r="E23" i="13"/>
  <c r="E24" i="13"/>
  <c r="N233" i="20"/>
  <c r="N232" i="20"/>
  <c r="E21" i="12"/>
  <c r="E77" i="12"/>
  <c r="E85" i="12"/>
  <c r="E78" i="12"/>
  <c r="E76" i="12"/>
  <c r="E84" i="12"/>
  <c r="E79" i="12"/>
  <c r="E82" i="12"/>
  <c r="E83" i="12"/>
  <c r="E81" i="12"/>
  <c r="E20" i="12"/>
  <c r="E66" i="12"/>
  <c r="E74" i="12"/>
  <c r="E71" i="12"/>
  <c r="E67" i="12"/>
  <c r="E63" i="12"/>
  <c r="E72" i="12"/>
  <c r="E65" i="12"/>
  <c r="E68" i="12"/>
  <c r="E69" i="12"/>
  <c r="E64" i="12"/>
  <c r="E73" i="12"/>
  <c r="E70" i="12"/>
  <c r="E40" i="12"/>
  <c r="E48" i="12"/>
  <c r="E56" i="12"/>
  <c r="E43" i="12"/>
  <c r="E36" i="12"/>
  <c r="E52" i="12"/>
  <c r="E53" i="12"/>
  <c r="E41" i="12"/>
  <c r="E49" i="12"/>
  <c r="E57" i="12"/>
  <c r="E35" i="12"/>
  <c r="E51" i="12"/>
  <c r="E44" i="12"/>
  <c r="E37" i="12"/>
  <c r="E61" i="12"/>
  <c r="E46" i="12"/>
  <c r="E39" i="12"/>
  <c r="E55" i="12"/>
  <c r="E34" i="12"/>
  <c r="E42" i="12"/>
  <c r="E50" i="12"/>
  <c r="E58" i="12"/>
  <c r="E59" i="12"/>
  <c r="E60" i="12"/>
  <c r="E45" i="12"/>
  <c r="E38" i="12"/>
  <c r="E54" i="12"/>
  <c r="E47" i="12"/>
  <c r="E64" i="10"/>
  <c r="E73" i="10"/>
  <c r="E65" i="10"/>
  <c r="E74" i="10"/>
  <c r="E60" i="10"/>
  <c r="E70" i="10"/>
  <c r="E71" i="10"/>
  <c r="E72" i="10"/>
  <c r="E66" i="10"/>
  <c r="E53" i="10"/>
  <c r="E61" i="10"/>
  <c r="E52" i="10"/>
  <c r="E56" i="10"/>
  <c r="E58" i="10"/>
  <c r="E67" i="10"/>
  <c r="E54" i="10"/>
  <c r="E62" i="10"/>
  <c r="E69" i="10"/>
  <c r="E57" i="10"/>
  <c r="E19" i="12"/>
  <c r="E33" i="12"/>
  <c r="E18" i="9"/>
  <c r="E39" i="9"/>
  <c r="E40" i="9"/>
  <c r="E41" i="9"/>
  <c r="E49" i="9"/>
  <c r="E57" i="9"/>
  <c r="E23" i="9"/>
  <c r="E31" i="9"/>
  <c r="E20" i="9"/>
  <c r="E42" i="9"/>
  <c r="E50" i="9"/>
  <c r="E58" i="9"/>
  <c r="E24" i="9"/>
  <c r="E32" i="9"/>
  <c r="E51" i="9"/>
  <c r="E59" i="9"/>
  <c r="E25" i="9"/>
  <c r="E33" i="9"/>
  <c r="E52" i="9"/>
  <c r="E60" i="9"/>
  <c r="E26" i="9"/>
  <c r="E34" i="9"/>
  <c r="E53" i="9"/>
  <c r="E61" i="9"/>
  <c r="E27" i="9"/>
  <c r="E35" i="9"/>
  <c r="E54" i="9"/>
  <c r="E28" i="9"/>
  <c r="D144" i="22"/>
  <c r="D169" i="25" s="1"/>
  <c r="E47" i="9"/>
  <c r="E55" i="9"/>
  <c r="E21" i="9"/>
  <c r="E29" i="9"/>
  <c r="E37" i="9"/>
  <c r="E48" i="9"/>
  <c r="E56" i="9"/>
  <c r="E22" i="9"/>
  <c r="E30" i="9"/>
  <c r="E43" i="9"/>
  <c r="E44" i="9"/>
  <c r="E45" i="9"/>
  <c r="E46" i="9"/>
  <c r="E18" i="10"/>
  <c r="E28" i="10"/>
  <c r="E21" i="10"/>
  <c r="E29" i="10"/>
  <c r="E22" i="10"/>
  <c r="E30" i="10"/>
  <c r="E23" i="10"/>
  <c r="E31" i="10"/>
  <c r="E24" i="10"/>
  <c r="E25" i="10"/>
  <c r="E33" i="10"/>
  <c r="E26" i="10"/>
  <c r="E20" i="10"/>
  <c r="E27" i="10"/>
  <c r="E18" i="12"/>
  <c r="E24" i="12"/>
  <c r="E23" i="12"/>
  <c r="E246" i="22" s="1"/>
  <c r="E151" i="25" s="1"/>
  <c r="E25" i="12"/>
  <c r="E26" i="12"/>
  <c r="E31" i="12"/>
  <c r="E27" i="12"/>
  <c r="E29" i="12"/>
  <c r="E28" i="12"/>
  <c r="E30" i="12"/>
  <c r="E25" i="11"/>
  <c r="E33" i="11"/>
  <c r="E24" i="11"/>
  <c r="E34" i="11"/>
  <c r="E28" i="11"/>
  <c r="E36" i="11"/>
  <c r="E21" i="11"/>
  <c r="E22" i="11"/>
  <c r="E32" i="11"/>
  <c r="E26" i="11"/>
  <c r="E27" i="11"/>
  <c r="E35" i="11"/>
  <c r="E37" i="11"/>
  <c r="E31" i="11"/>
  <c r="E23" i="11"/>
  <c r="E29" i="11"/>
  <c r="E30" i="11"/>
  <c r="E18" i="11"/>
  <c r="E20" i="11"/>
  <c r="N302" i="20"/>
  <c r="T302" i="20" s="1"/>
  <c r="V302" i="20" s="1"/>
  <c r="N296" i="20"/>
  <c r="T296" i="20" s="1"/>
  <c r="N251" i="20"/>
  <c r="T251" i="20" s="1"/>
  <c r="V251" i="20" s="1"/>
  <c r="N252" i="20"/>
  <c r="T252" i="20" s="1"/>
  <c r="V252" i="20" s="1"/>
  <c r="N268" i="20"/>
  <c r="T268" i="20" s="1"/>
  <c r="V268" i="20" s="1"/>
  <c r="N239" i="20"/>
  <c r="T239" i="20" s="1"/>
  <c r="V239" i="20" s="1"/>
  <c r="N299" i="20"/>
  <c r="T299" i="20" s="1"/>
  <c r="V299" i="20" s="1"/>
  <c r="N281" i="20"/>
  <c r="T281" i="20" s="1"/>
  <c r="V281" i="20" s="1"/>
  <c r="N285" i="20"/>
  <c r="T285" i="20" s="1"/>
  <c r="V285" i="20" s="1"/>
  <c r="N240" i="20"/>
  <c r="T240" i="20" s="1"/>
  <c r="V240" i="20" s="1"/>
  <c r="N244" i="20"/>
  <c r="T244" i="20" s="1"/>
  <c r="N248" i="20"/>
  <c r="T248" i="20" s="1"/>
  <c r="V248" i="20" s="1"/>
  <c r="N243" i="20"/>
  <c r="T243" i="20" s="1"/>
  <c r="N247" i="20"/>
  <c r="T247" i="20" s="1"/>
  <c r="V247" i="20" s="1"/>
  <c r="N255" i="20"/>
  <c r="T255" i="20" s="1"/>
  <c r="N264" i="20"/>
  <c r="T264" i="20" s="1"/>
  <c r="V264" i="20" s="1"/>
  <c r="N272" i="20"/>
  <c r="T272" i="20" s="1"/>
  <c r="N276" i="20"/>
  <c r="T276" i="20" s="1"/>
  <c r="V276" i="20" s="1"/>
  <c r="N253" i="20"/>
  <c r="T253" i="20" s="1"/>
  <c r="N262" i="20"/>
  <c r="T262" i="20" s="1"/>
  <c r="V262" i="20" s="1"/>
  <c r="N266" i="20"/>
  <c r="T266" i="20" s="1"/>
  <c r="N270" i="20"/>
  <c r="T270" i="20" s="1"/>
  <c r="V270" i="20" s="1"/>
  <c r="N284" i="20"/>
  <c r="T284" i="20" s="1"/>
  <c r="V284" i="20" s="1"/>
  <c r="N298" i="20"/>
  <c r="T298" i="20" s="1"/>
  <c r="V298" i="20" s="1"/>
  <c r="N245" i="20"/>
  <c r="T245" i="20" s="1"/>
  <c r="V245" i="20" s="1"/>
  <c r="N249" i="20"/>
  <c r="T249" i="20" s="1"/>
  <c r="N257" i="20"/>
  <c r="T257" i="20" s="1"/>
  <c r="V257" i="20" s="1"/>
  <c r="N280" i="20"/>
  <c r="T280" i="20" s="1"/>
  <c r="V280" i="20" s="1"/>
  <c r="N241" i="20"/>
  <c r="T241" i="20" s="1"/>
  <c r="V241" i="20" s="1"/>
  <c r="N274" i="20"/>
  <c r="T274" i="20" s="1"/>
  <c r="V274" i="20" s="1"/>
  <c r="N278" i="20"/>
  <c r="T278" i="20" s="1"/>
  <c r="V278" i="20" s="1"/>
  <c r="N288" i="20"/>
  <c r="T288" i="20" s="1"/>
  <c r="V288" i="20" s="1"/>
  <c r="N300" i="20"/>
  <c r="T300" i="20" s="1"/>
  <c r="V300" i="20" s="1"/>
  <c r="N282" i="20"/>
  <c r="T282" i="20" s="1"/>
  <c r="V282" i="20" s="1"/>
  <c r="N286" i="20"/>
  <c r="T286" i="20" s="1"/>
  <c r="V286" i="20" s="1"/>
  <c r="N328" i="20"/>
  <c r="N324" i="20"/>
  <c r="N332" i="20"/>
  <c r="N316" i="20"/>
  <c r="N308" i="20"/>
  <c r="N320" i="20"/>
  <c r="N304" i="20"/>
  <c r="N303" i="20"/>
  <c r="N307" i="20"/>
  <c r="N311" i="20"/>
  <c r="N315" i="20"/>
  <c r="N319" i="20"/>
  <c r="N323" i="20"/>
  <c r="N327" i="20"/>
  <c r="N331" i="20"/>
  <c r="N56" i="20"/>
  <c r="T56" i="20" s="1"/>
  <c r="N57" i="20"/>
  <c r="N79" i="20"/>
  <c r="T79" i="20" s="1"/>
  <c r="N129" i="20"/>
  <c r="N94" i="20"/>
  <c r="T94" i="20" s="1"/>
  <c r="N114" i="20"/>
  <c r="T114" i="20" s="1"/>
  <c r="N87" i="20"/>
  <c r="N80" i="20"/>
  <c r="N89" i="20"/>
  <c r="N82" i="20"/>
  <c r="T82" i="20" s="1"/>
  <c r="N131" i="20"/>
  <c r="N112" i="20"/>
  <c r="N81" i="20"/>
  <c r="T81" i="20" s="1"/>
  <c r="N130" i="20"/>
  <c r="N88" i="20"/>
  <c r="N93" i="20"/>
  <c r="T93" i="20" s="1"/>
  <c r="N86" i="20"/>
  <c r="N78" i="20"/>
  <c r="T78" i="20" s="1"/>
  <c r="N120" i="20"/>
  <c r="N92" i="20"/>
  <c r="N85" i="20"/>
  <c r="N91" i="20"/>
  <c r="T91" i="20" s="1"/>
  <c r="N84" i="20"/>
  <c r="T84" i="20" s="1"/>
  <c r="N90" i="20"/>
  <c r="T90" i="20" s="1"/>
  <c r="N83" i="20"/>
  <c r="T83" i="20" s="1"/>
  <c r="N140" i="20"/>
  <c r="T140" i="20" s="1"/>
  <c r="N76" i="20"/>
  <c r="T76" i="20" s="1"/>
  <c r="N75" i="20"/>
  <c r="N146" i="20"/>
  <c r="N68" i="20"/>
  <c r="N145" i="20"/>
  <c r="N67" i="20"/>
  <c r="T67" i="20" s="1"/>
  <c r="N144" i="20"/>
  <c r="N66" i="20"/>
  <c r="N142" i="20"/>
  <c r="N137" i="20"/>
  <c r="N72" i="20"/>
  <c r="T72" i="20" s="1"/>
  <c r="N64" i="20"/>
  <c r="T64" i="20" s="1"/>
  <c r="N136" i="20"/>
  <c r="N71" i="20"/>
  <c r="T71" i="20" s="1"/>
  <c r="N181" i="20"/>
  <c r="N74" i="20"/>
  <c r="N143" i="20"/>
  <c r="T143" i="20" s="1"/>
  <c r="N65" i="20"/>
  <c r="N180" i="20"/>
  <c r="N138" i="20"/>
  <c r="N73" i="20"/>
  <c r="N43" i="20"/>
  <c r="N189" i="20"/>
  <c r="N228" i="20"/>
  <c r="N225" i="20"/>
  <c r="T225" i="20" s="1"/>
  <c r="N63" i="20"/>
  <c r="T63" i="20" s="1"/>
  <c r="N196" i="20"/>
  <c r="N221" i="20"/>
  <c r="N193" i="20"/>
  <c r="N223" i="20"/>
  <c r="N59" i="20"/>
  <c r="T59" i="20" s="1"/>
  <c r="N213" i="20"/>
  <c r="N235" i="20"/>
  <c r="N236" i="20"/>
  <c r="N201" i="20"/>
  <c r="N204" i="20"/>
  <c r="N209" i="20"/>
  <c r="N192" i="20"/>
  <c r="N197" i="20"/>
  <c r="N212" i="20"/>
  <c r="N217" i="20"/>
  <c r="T217" i="20" s="1"/>
  <c r="N224" i="20"/>
  <c r="T224" i="20" s="1"/>
  <c r="N227" i="20"/>
  <c r="N200" i="20"/>
  <c r="N205" i="20"/>
  <c r="N229" i="20"/>
  <c r="N60" i="20"/>
  <c r="N45" i="20"/>
  <c r="N37" i="20"/>
  <c r="N36" i="20"/>
  <c r="N47" i="20"/>
  <c r="N46" i="20"/>
  <c r="N185" i="20"/>
  <c r="T185" i="20" s="1"/>
  <c r="N155" i="20"/>
  <c r="T155" i="20" s="1"/>
  <c r="N159" i="20"/>
  <c r="N184" i="20"/>
  <c r="N156" i="20"/>
  <c r="N160" i="20"/>
  <c r="T160" i="20" s="1"/>
  <c r="N148" i="20"/>
  <c r="N152" i="20"/>
  <c r="T152" i="20" s="1"/>
  <c r="N117" i="20"/>
  <c r="N113" i="20"/>
  <c r="T113" i="20" s="1"/>
  <c r="N126" i="20"/>
  <c r="N124" i="20"/>
  <c r="N118" i="20"/>
  <c r="T118" i="20" s="1"/>
  <c r="N128" i="20"/>
  <c r="N116" i="20"/>
  <c r="T116" i="20" s="1"/>
  <c r="N125" i="20"/>
  <c r="N122" i="20"/>
  <c r="N134" i="20"/>
  <c r="N132" i="20"/>
  <c r="T132" i="20" s="1"/>
  <c r="N167" i="20"/>
  <c r="T167" i="20" s="1"/>
  <c r="N110" i="20"/>
  <c r="T110" i="20" s="1"/>
  <c r="N111" i="20"/>
  <c r="N174" i="20"/>
  <c r="N106" i="20"/>
  <c r="N163" i="20"/>
  <c r="N175" i="20"/>
  <c r="N168" i="20"/>
  <c r="N104" i="20"/>
  <c r="N161" i="20"/>
  <c r="T161" i="20" s="1"/>
  <c r="N19" i="20"/>
  <c r="N18" i="20"/>
  <c r="N17" i="20"/>
  <c r="N16" i="20"/>
  <c r="T16" i="20" s="1"/>
  <c r="V16" i="20" s="1"/>
  <c r="N23" i="20"/>
  <c r="N15" i="20"/>
  <c r="T15" i="20" s="1"/>
  <c r="N14" i="20"/>
  <c r="T14" i="20" s="1"/>
  <c r="V14" i="20" s="1"/>
  <c r="E172" i="25" l="1"/>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D344" i="22"/>
  <c r="E344" i="22"/>
  <c r="D345" i="22"/>
  <c r="E345" i="22"/>
  <c r="D343" i="22"/>
  <c r="E343" i="22"/>
  <c r="D346" i="22"/>
  <c r="E346" i="22"/>
  <c r="D342" i="22"/>
  <c r="E342" i="22"/>
  <c r="D341" i="22"/>
  <c r="E341" i="22"/>
  <c r="D336" i="22"/>
  <c r="E336" i="22"/>
  <c r="D339" i="22"/>
  <c r="E339" i="22"/>
  <c r="D335" i="22"/>
  <c r="E335" i="22"/>
  <c r="D333" i="22"/>
  <c r="E333" i="22"/>
  <c r="D337" i="22"/>
  <c r="E337" i="22"/>
  <c r="D338" i="22"/>
  <c r="E338" i="22"/>
  <c r="D334" i="22"/>
  <c r="E334" i="22"/>
  <c r="D332" i="22"/>
  <c r="E332" i="22"/>
  <c r="D328" i="22"/>
  <c r="E328" i="22"/>
  <c r="D327" i="22"/>
  <c r="E327" i="22"/>
  <c r="D330" i="22"/>
  <c r="E330" i="22"/>
  <c r="D329" i="22"/>
  <c r="E329" i="22"/>
  <c r="D326" i="22"/>
  <c r="E326" i="22"/>
  <c r="D321" i="22"/>
  <c r="E321" i="22"/>
  <c r="D324" i="22"/>
  <c r="E324" i="22"/>
  <c r="D323" i="22"/>
  <c r="E323" i="22"/>
  <c r="D322" i="22"/>
  <c r="E322" i="22"/>
  <c r="D320" i="22"/>
  <c r="E320" i="22"/>
  <c r="D316" i="22"/>
  <c r="E316" i="22"/>
  <c r="D315" i="22"/>
  <c r="E315" i="22"/>
  <c r="D318" i="22"/>
  <c r="E318" i="22"/>
  <c r="D317" i="22"/>
  <c r="E317" i="22"/>
  <c r="D314" i="22"/>
  <c r="E314" i="22"/>
  <c r="D312" i="22"/>
  <c r="E312" i="22"/>
  <c r="D311" i="22"/>
  <c r="E311" i="22"/>
  <c r="D303" i="22"/>
  <c r="E303" i="22"/>
  <c r="D308" i="22"/>
  <c r="E308" i="22"/>
  <c r="D302" i="22"/>
  <c r="E302" i="22"/>
  <c r="D305" i="22"/>
  <c r="E305" i="22"/>
  <c r="D309" i="22"/>
  <c r="E309" i="22"/>
  <c r="D304" i="22"/>
  <c r="E304" i="22"/>
  <c r="D301" i="22"/>
  <c r="E301" i="22"/>
  <c r="D306" i="22"/>
  <c r="E306" i="22"/>
  <c r="D307" i="22"/>
  <c r="E307" i="22"/>
  <c r="D300" i="22"/>
  <c r="E300" i="22"/>
  <c r="D297" i="22"/>
  <c r="D258" i="25" s="1"/>
  <c r="E297" i="22"/>
  <c r="E258" i="25" s="1"/>
  <c r="D295" i="22"/>
  <c r="D256" i="25" s="1"/>
  <c r="E295" i="22"/>
  <c r="E256" i="25" s="1"/>
  <c r="D294" i="22"/>
  <c r="D255" i="25" s="1"/>
  <c r="E294" i="22"/>
  <c r="E255" i="25" s="1"/>
  <c r="D288" i="22"/>
  <c r="D249" i="25" s="1"/>
  <c r="E288" i="22"/>
  <c r="E249" i="25" s="1"/>
  <c r="D298" i="22"/>
  <c r="D259" i="25" s="1"/>
  <c r="E298" i="22"/>
  <c r="E259" i="25" s="1"/>
  <c r="D293" i="22"/>
  <c r="D254" i="25" s="1"/>
  <c r="E293" i="22"/>
  <c r="E254" i="25" s="1"/>
  <c r="D290" i="22"/>
  <c r="D251" i="25" s="1"/>
  <c r="E290" i="22"/>
  <c r="E251" i="25" s="1"/>
  <c r="D292" i="22"/>
  <c r="D253" i="25" s="1"/>
  <c r="E292" i="22"/>
  <c r="E253" i="25" s="1"/>
  <c r="D291" i="22"/>
  <c r="D252" i="25" s="1"/>
  <c r="E291" i="22"/>
  <c r="E252" i="25" s="1"/>
  <c r="D289" i="22"/>
  <c r="D250" i="25" s="1"/>
  <c r="E289" i="22"/>
  <c r="E250" i="25" s="1"/>
  <c r="D296" i="22"/>
  <c r="D257" i="25" s="1"/>
  <c r="E296" i="22"/>
  <c r="E257" i="25" s="1"/>
  <c r="D287" i="22"/>
  <c r="D248" i="25" s="1"/>
  <c r="E287" i="22"/>
  <c r="E248" i="25" s="1"/>
  <c r="D265" i="22"/>
  <c r="D226" i="25" s="1"/>
  <c r="E265" i="22"/>
  <c r="E226" i="25" s="1"/>
  <c r="D283" i="22"/>
  <c r="D244" i="25" s="1"/>
  <c r="E283" i="22"/>
  <c r="E244" i="25" s="1"/>
  <c r="D285" i="22"/>
  <c r="D246" i="25" s="1"/>
  <c r="E285" i="22"/>
  <c r="E246" i="25" s="1"/>
  <c r="D277" i="22"/>
  <c r="D238" i="25" s="1"/>
  <c r="E277" i="22"/>
  <c r="E238" i="25" s="1"/>
  <c r="D284" i="22"/>
  <c r="D245" i="25" s="1"/>
  <c r="E284" i="22"/>
  <c r="E245" i="25" s="1"/>
  <c r="D282" i="22"/>
  <c r="D243" i="25" s="1"/>
  <c r="E282" i="22"/>
  <c r="E243" i="25" s="1"/>
  <c r="D261" i="22"/>
  <c r="D222" i="25" s="1"/>
  <c r="E261" i="22"/>
  <c r="E222" i="25" s="1"/>
  <c r="D276" i="22"/>
  <c r="D237" i="25" s="1"/>
  <c r="E276" i="22"/>
  <c r="E237" i="25" s="1"/>
  <c r="D274" i="22"/>
  <c r="D235" i="25" s="1"/>
  <c r="E274" i="22"/>
  <c r="E235" i="25" s="1"/>
  <c r="D268" i="22"/>
  <c r="D229" i="25" s="1"/>
  <c r="E268" i="22"/>
  <c r="E229" i="25" s="1"/>
  <c r="D260" i="22"/>
  <c r="D221" i="25" s="1"/>
  <c r="E260" i="22"/>
  <c r="E221" i="25" s="1"/>
  <c r="D271" i="22"/>
  <c r="D232" i="25" s="1"/>
  <c r="E271" i="22"/>
  <c r="E232" i="25" s="1"/>
  <c r="D266" i="22"/>
  <c r="D227" i="25" s="1"/>
  <c r="E266" i="22"/>
  <c r="E227" i="25" s="1"/>
  <c r="D275" i="22"/>
  <c r="D236" i="25" s="1"/>
  <c r="E275" i="22"/>
  <c r="E236" i="25" s="1"/>
  <c r="D267" i="22"/>
  <c r="D228" i="25" s="1"/>
  <c r="E267" i="22"/>
  <c r="E228" i="25" s="1"/>
  <c r="D278" i="22"/>
  <c r="D239" i="25" s="1"/>
  <c r="E278" i="22"/>
  <c r="E239" i="25" s="1"/>
  <c r="D258" i="22"/>
  <c r="D219" i="25" s="1"/>
  <c r="E258" i="22"/>
  <c r="E219" i="25" s="1"/>
  <c r="D259" i="22"/>
  <c r="D220" i="25" s="1"/>
  <c r="E259" i="22"/>
  <c r="E220" i="25" s="1"/>
  <c r="D280" i="22"/>
  <c r="D241" i="25" s="1"/>
  <c r="E280" i="22"/>
  <c r="E241" i="25" s="1"/>
  <c r="D262" i="22"/>
  <c r="D223" i="25" s="1"/>
  <c r="E262" i="22"/>
  <c r="E223" i="25" s="1"/>
  <c r="D279" i="22"/>
  <c r="D240" i="25" s="1"/>
  <c r="E279" i="22"/>
  <c r="E240" i="25" s="1"/>
  <c r="D281" i="22"/>
  <c r="D242" i="25" s="1"/>
  <c r="E281" i="22"/>
  <c r="E242" i="25" s="1"/>
  <c r="D272" i="22"/>
  <c r="D233" i="25" s="1"/>
  <c r="E272" i="22"/>
  <c r="E233" i="25" s="1"/>
  <c r="D270" i="22"/>
  <c r="D231" i="25" s="1"/>
  <c r="E270" i="22"/>
  <c r="E231" i="25" s="1"/>
  <c r="D269" i="22"/>
  <c r="D230" i="25" s="1"/>
  <c r="E269" i="22"/>
  <c r="E230" i="25" s="1"/>
  <c r="D263" i="22"/>
  <c r="D224" i="25" s="1"/>
  <c r="E263" i="22"/>
  <c r="E224" i="25" s="1"/>
  <c r="D273" i="22"/>
  <c r="D234" i="25" s="1"/>
  <c r="E273" i="22"/>
  <c r="E234" i="25" s="1"/>
  <c r="D264" i="22"/>
  <c r="D225" i="25" s="1"/>
  <c r="E264" i="22"/>
  <c r="E225" i="25" s="1"/>
  <c r="D257" i="22"/>
  <c r="D218" i="25" s="1"/>
  <c r="E257" i="22"/>
  <c r="E218" i="25" s="1"/>
  <c r="D247" i="22"/>
  <c r="D152" i="25" s="1"/>
  <c r="E247" i="22"/>
  <c r="E152" i="25" s="1"/>
  <c r="D254" i="22"/>
  <c r="D158" i="25" s="1"/>
  <c r="E254" i="22"/>
  <c r="E158" i="25" s="1"/>
  <c r="D252" i="22"/>
  <c r="D156" i="25" s="1"/>
  <c r="E252" i="22"/>
  <c r="E156" i="25" s="1"/>
  <c r="D253" i="22"/>
  <c r="D157" i="25" s="1"/>
  <c r="E253" i="22"/>
  <c r="E157" i="25" s="1"/>
  <c r="D251" i="22"/>
  <c r="D155" i="25" s="1"/>
  <c r="E251" i="22"/>
  <c r="E155" i="25" s="1"/>
  <c r="E248" i="22"/>
  <c r="E153" i="25" s="1"/>
  <c r="E249" i="22"/>
  <c r="D255" i="22"/>
  <c r="D159" i="25" s="1"/>
  <c r="E255" i="22"/>
  <c r="E159" i="25" s="1"/>
  <c r="D250" i="22"/>
  <c r="D154" i="25" s="1"/>
  <c r="E250" i="22"/>
  <c r="E154" i="25" s="1"/>
  <c r="D237" i="22"/>
  <c r="E237" i="22"/>
  <c r="D239" i="22"/>
  <c r="E239" i="22"/>
  <c r="D232" i="22"/>
  <c r="E232" i="22"/>
  <c r="D236" i="22"/>
  <c r="E236" i="22"/>
  <c r="D229" i="22"/>
  <c r="E229" i="22"/>
  <c r="D230" i="22"/>
  <c r="E230" i="22"/>
  <c r="D228" i="22"/>
  <c r="E228" i="22"/>
  <c r="D238" i="22"/>
  <c r="E238" i="22"/>
  <c r="D243" i="22"/>
  <c r="E243" i="22"/>
  <c r="D240" i="22"/>
  <c r="E240" i="22"/>
  <c r="D244" i="22"/>
  <c r="E244" i="22"/>
  <c r="D242" i="22"/>
  <c r="E242" i="22"/>
  <c r="D241" i="22"/>
  <c r="E241" i="22"/>
  <c r="D233" i="22"/>
  <c r="D144" i="25" s="1"/>
  <c r="E233" i="22"/>
  <c r="E144" i="25" s="1"/>
  <c r="D235" i="22"/>
  <c r="E235" i="22"/>
  <c r="D234" i="22"/>
  <c r="E234" i="22"/>
  <c r="D231" i="22"/>
  <c r="D143" i="25" s="1"/>
  <c r="E231" i="22"/>
  <c r="E143" i="25" s="1"/>
  <c r="D227" i="22"/>
  <c r="E227" i="22"/>
  <c r="D225" i="22"/>
  <c r="D216" i="25" s="1"/>
  <c r="E225" i="22"/>
  <c r="E216" i="25" s="1"/>
  <c r="D223" i="22"/>
  <c r="D215" i="25" s="1"/>
  <c r="E223" i="22"/>
  <c r="E215" i="25" s="1"/>
  <c r="D222" i="22"/>
  <c r="E222" i="22"/>
  <c r="D224" i="22"/>
  <c r="E224" i="22"/>
  <c r="D221" i="22"/>
  <c r="D214" i="25" s="1"/>
  <c r="E221" i="22"/>
  <c r="E214" i="25" s="1"/>
  <c r="D220" i="22"/>
  <c r="D213" i="25" s="1"/>
  <c r="E220" i="22"/>
  <c r="E213" i="25" s="1"/>
  <c r="D216" i="22"/>
  <c r="D209" i="25" s="1"/>
  <c r="E216" i="22"/>
  <c r="E209" i="25" s="1"/>
  <c r="D217" i="22"/>
  <c r="D210" i="25" s="1"/>
  <c r="E217" i="22"/>
  <c r="E210" i="25" s="1"/>
  <c r="D218" i="22"/>
  <c r="D211" i="25" s="1"/>
  <c r="E218" i="22"/>
  <c r="E211" i="25" s="1"/>
  <c r="D215" i="22"/>
  <c r="D208" i="25" s="1"/>
  <c r="E215" i="22"/>
  <c r="E208" i="25" s="1"/>
  <c r="D213" i="22"/>
  <c r="E213" i="22"/>
  <c r="D204" i="22"/>
  <c r="D194" i="25" s="1"/>
  <c r="E204" i="22"/>
  <c r="E194" i="25" s="1"/>
  <c r="D205" i="22"/>
  <c r="D195" i="25" s="1"/>
  <c r="E205" i="22"/>
  <c r="E195" i="25" s="1"/>
  <c r="D212" i="22"/>
  <c r="E212" i="22"/>
  <c r="D210" i="22"/>
  <c r="E210" i="22"/>
  <c r="D209" i="22"/>
  <c r="E209" i="22"/>
  <c r="D207" i="22"/>
  <c r="D197" i="25" s="1"/>
  <c r="E207" i="22"/>
  <c r="E197" i="25" s="1"/>
  <c r="D206" i="22"/>
  <c r="D196" i="25" s="1"/>
  <c r="E206" i="22"/>
  <c r="E196" i="25" s="1"/>
  <c r="D208" i="22"/>
  <c r="E208" i="22"/>
  <c r="D211" i="22"/>
  <c r="D198" i="25" s="1"/>
  <c r="E211" i="22"/>
  <c r="E198" i="25" s="1"/>
  <c r="D203" i="22"/>
  <c r="D193" i="25" s="1"/>
  <c r="E203" i="22"/>
  <c r="E193" i="25" s="1"/>
  <c r="D175" i="22"/>
  <c r="E175" i="22"/>
  <c r="D176" i="22"/>
  <c r="E176" i="22"/>
  <c r="D172" i="22"/>
  <c r="D162" i="25" s="1"/>
  <c r="E172" i="22"/>
  <c r="E162" i="25" s="1"/>
  <c r="D183" i="22"/>
  <c r="E183" i="22"/>
  <c r="D179" i="22"/>
  <c r="E179" i="22"/>
  <c r="D182" i="22"/>
  <c r="E182" i="22"/>
  <c r="D178" i="22"/>
  <c r="D163" i="25" s="1"/>
  <c r="E178" i="22"/>
  <c r="E163" i="25" s="1"/>
  <c r="D174" i="22"/>
  <c r="E174" i="22"/>
  <c r="D181" i="22"/>
  <c r="E181" i="22"/>
  <c r="D177" i="22"/>
  <c r="E177" i="22"/>
  <c r="D173" i="22"/>
  <c r="E173" i="22"/>
  <c r="D184" i="22"/>
  <c r="E184" i="22"/>
  <c r="D180" i="22"/>
  <c r="E180" i="22"/>
  <c r="D171" i="22"/>
  <c r="D161" i="25" s="1"/>
  <c r="E171" i="22"/>
  <c r="E161" i="25" s="1"/>
  <c r="D166" i="22"/>
  <c r="E166" i="22"/>
  <c r="D156" i="22"/>
  <c r="D180" i="25" s="1"/>
  <c r="E156" i="22"/>
  <c r="E180" i="25" s="1"/>
  <c r="D162" i="22"/>
  <c r="E162" i="22"/>
  <c r="D160" i="22"/>
  <c r="D184" i="25" s="1"/>
  <c r="E160" i="22"/>
  <c r="E184" i="25" s="1"/>
  <c r="D158" i="22"/>
  <c r="D182" i="25" s="1"/>
  <c r="E158" i="22"/>
  <c r="E182" i="25" s="1"/>
  <c r="D148" i="22"/>
  <c r="E148" i="22"/>
  <c r="D154" i="22"/>
  <c r="D178" i="25" s="1"/>
  <c r="E154" i="22"/>
  <c r="E178" i="25" s="1"/>
  <c r="D150" i="22"/>
  <c r="D175" i="25" s="1"/>
  <c r="E150" i="22"/>
  <c r="E175" i="25" s="1"/>
  <c r="D164" i="22"/>
  <c r="E164" i="22"/>
  <c r="D149" i="22"/>
  <c r="D174" i="25" s="1"/>
  <c r="E149" i="22"/>
  <c r="E174" i="25" s="1"/>
  <c r="D153" i="22"/>
  <c r="D177" i="25" s="1"/>
  <c r="E153" i="22"/>
  <c r="E177" i="25" s="1"/>
  <c r="D152" i="22"/>
  <c r="D176" i="25" s="1"/>
  <c r="E152" i="22"/>
  <c r="E176" i="25" s="1"/>
  <c r="D169" i="22"/>
  <c r="D188" i="25" s="1"/>
  <c r="E169" i="22"/>
  <c r="E188" i="25" s="1"/>
  <c r="D167" i="22"/>
  <c r="E167" i="22"/>
  <c r="D157" i="22"/>
  <c r="D181" i="25" s="1"/>
  <c r="E157" i="22"/>
  <c r="E181" i="25" s="1"/>
  <c r="D151" i="22"/>
  <c r="E151" i="22"/>
  <c r="D163" i="22"/>
  <c r="D186" i="25" s="1"/>
  <c r="E163" i="22"/>
  <c r="E186" i="25" s="1"/>
  <c r="D161" i="22"/>
  <c r="D185" i="25" s="1"/>
  <c r="E161" i="22"/>
  <c r="E185" i="25" s="1"/>
  <c r="D159" i="22"/>
  <c r="D183" i="25" s="1"/>
  <c r="E159" i="22"/>
  <c r="E183" i="25" s="1"/>
  <c r="D168" i="22"/>
  <c r="D187" i="25" s="1"/>
  <c r="E168" i="22"/>
  <c r="E187" i="25" s="1"/>
  <c r="D155" i="22"/>
  <c r="D179" i="25" s="1"/>
  <c r="E155" i="22"/>
  <c r="E179" i="25" s="1"/>
  <c r="D165" i="22"/>
  <c r="E165" i="22"/>
  <c r="D147" i="22"/>
  <c r="E147" i="22"/>
  <c r="D138" i="22"/>
  <c r="E138" i="22"/>
  <c r="D142" i="22"/>
  <c r="E142" i="22"/>
  <c r="D130" i="22"/>
  <c r="E130" i="22"/>
  <c r="D134" i="22"/>
  <c r="E134" i="22"/>
  <c r="D132" i="22"/>
  <c r="E132" i="22"/>
  <c r="D145" i="22"/>
  <c r="E145" i="22"/>
  <c r="D143" i="22"/>
  <c r="E143" i="22"/>
  <c r="D141" i="22"/>
  <c r="E141" i="22"/>
  <c r="D137" i="22"/>
  <c r="E137" i="22"/>
  <c r="D135" i="22"/>
  <c r="E135" i="22"/>
  <c r="D133" i="22"/>
  <c r="E133" i="22"/>
  <c r="D139" i="22"/>
  <c r="D167" i="25" s="1"/>
  <c r="E139" i="22"/>
  <c r="E167" i="25" s="1"/>
  <c r="D136" i="22"/>
  <c r="E136" i="22"/>
  <c r="D129" i="22"/>
  <c r="D166" i="25" s="1"/>
  <c r="E129" i="22"/>
  <c r="E166" i="25" s="1"/>
  <c r="D131" i="22"/>
  <c r="E131" i="22"/>
  <c r="D140" i="22"/>
  <c r="D168" i="25" s="1"/>
  <c r="E140" i="22"/>
  <c r="E168" i="25" s="1"/>
  <c r="D128" i="22"/>
  <c r="D165" i="25" s="1"/>
  <c r="E128" i="22"/>
  <c r="E165" i="25" s="1"/>
  <c r="D248" i="22"/>
  <c r="D153" i="25" s="1"/>
  <c r="D249" i="22"/>
  <c r="D246" i="22"/>
  <c r="D151" i="25" s="1"/>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S85" i="20"/>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V29" i="20" s="1"/>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V104" i="20" s="1"/>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S20"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V89" i="20" s="1"/>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S9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K33" i="20"/>
  <c r="N33" i="20"/>
  <c r="K10" i="20"/>
  <c r="N10" i="20"/>
  <c r="K11" i="20"/>
  <c r="N11" i="20"/>
  <c r="K7" i="20"/>
  <c r="N7" i="20"/>
  <c r="K8" i="20"/>
  <c r="N8" i="20"/>
  <c r="K35" i="20"/>
  <c r="N35" i="20"/>
  <c r="K3" i="20"/>
  <c r="O3" i="20" s="1"/>
  <c r="P3" i="20" s="1"/>
  <c r="N3" i="20"/>
  <c r="T3" i="20" s="1"/>
  <c r="K6" i="20"/>
  <c r="N6" i="20"/>
  <c r="K34" i="20"/>
  <c r="N34" i="20"/>
  <c r="K96" i="20"/>
  <c r="O96" i="20" s="1"/>
  <c r="N96" i="20"/>
  <c r="K5" i="20"/>
  <c r="N5" i="20"/>
  <c r="K9" i="20"/>
  <c r="N9" i="20"/>
  <c r="K32" i="20"/>
  <c r="N32" i="20"/>
  <c r="O95" i="20"/>
  <c r="P95" i="20" s="1"/>
  <c r="P294" i="20"/>
  <c r="P295" i="20"/>
  <c r="P293" i="20"/>
  <c r="P290" i="20"/>
  <c r="K167" i="20"/>
  <c r="O167" i="20" s="1"/>
  <c r="K126" i="20"/>
  <c r="O126" i="20" s="1"/>
  <c r="K212" i="20"/>
  <c r="O212" i="20" s="1"/>
  <c r="K75" i="20"/>
  <c r="O75" i="20" s="1"/>
  <c r="K93" i="20"/>
  <c r="K82" i="20"/>
  <c r="O82" i="20" s="1"/>
  <c r="K311" i="20"/>
  <c r="O311" i="20" s="1"/>
  <c r="K274" i="20"/>
  <c r="O274" i="20" s="1"/>
  <c r="K257" i="20"/>
  <c r="O257" i="20" s="1"/>
  <c r="K266" i="20"/>
  <c r="O266" i="20" s="1"/>
  <c r="K276" i="20"/>
  <c r="O276" i="20" s="1"/>
  <c r="K255" i="20"/>
  <c r="O255" i="20" s="1"/>
  <c r="K251" i="20"/>
  <c r="O251" i="20" s="1"/>
  <c r="K103" i="20"/>
  <c r="O103" i="20" s="1"/>
  <c r="K54" i="20"/>
  <c r="O54" i="20" s="1"/>
  <c r="K141" i="20"/>
  <c r="O141" i="20" s="1"/>
  <c r="K41" i="20"/>
  <c r="O41" i="20" s="1"/>
  <c r="K12" i="20"/>
  <c r="K186" i="20"/>
  <c r="O186" i="20" s="1"/>
  <c r="K18" i="20"/>
  <c r="O18" i="20" s="1"/>
  <c r="K47" i="20"/>
  <c r="O47" i="20" s="1"/>
  <c r="K180" i="20"/>
  <c r="O180" i="20" s="1"/>
  <c r="K87" i="20"/>
  <c r="O87" i="20" s="1"/>
  <c r="K23" i="20"/>
  <c r="O23" i="20" s="1"/>
  <c r="K175" i="20"/>
  <c r="O175" i="20" s="1"/>
  <c r="K174" i="20"/>
  <c r="O174" i="20" s="1"/>
  <c r="K184" i="20"/>
  <c r="O184" i="20" s="1"/>
  <c r="K45" i="20"/>
  <c r="O45" i="20" s="1"/>
  <c r="K192" i="20"/>
  <c r="O192" i="20" s="1"/>
  <c r="K209" i="20"/>
  <c r="O209" i="20" s="1"/>
  <c r="K84" i="20"/>
  <c r="K89" i="20"/>
  <c r="O89" i="20" s="1"/>
  <c r="K114" i="20"/>
  <c r="O114" i="20" s="1"/>
  <c r="K331" i="20"/>
  <c r="O331" i="20" s="1"/>
  <c r="K249" i="20"/>
  <c r="O249" i="20" s="1"/>
  <c r="K262" i="20"/>
  <c r="O262" i="20" s="1"/>
  <c r="K248" i="20"/>
  <c r="O248" i="20" s="1"/>
  <c r="K232" i="20"/>
  <c r="O232" i="20" s="1"/>
  <c r="K97" i="20"/>
  <c r="O97" i="20" s="1"/>
  <c r="K25" i="20"/>
  <c r="O25" i="20" s="1"/>
  <c r="K135" i="20"/>
  <c r="K215" i="20"/>
  <c r="O215" i="20" s="1"/>
  <c r="P291" i="20"/>
  <c r="K148" i="20"/>
  <c r="O148" i="20" s="1"/>
  <c r="K91" i="20"/>
  <c r="O91" i="20" s="1"/>
  <c r="K300" i="20"/>
  <c r="O300" i="20" s="1"/>
  <c r="K296" i="20"/>
  <c r="O296" i="20" s="1"/>
  <c r="K53" i="20"/>
  <c r="O53" i="20" s="1"/>
  <c r="K150" i="20"/>
  <c r="O150" i="20" s="1"/>
  <c r="K16" i="20"/>
  <c r="K116" i="20"/>
  <c r="O116" i="20" s="1"/>
  <c r="K155" i="20"/>
  <c r="O155" i="20" s="1"/>
  <c r="K60" i="20"/>
  <c r="O60" i="20" s="1"/>
  <c r="K227" i="20"/>
  <c r="O227" i="20" s="1"/>
  <c r="K204" i="20"/>
  <c r="O204" i="20" s="1"/>
  <c r="K223" i="20"/>
  <c r="O223" i="20" s="1"/>
  <c r="K228" i="20"/>
  <c r="O228" i="20" s="1"/>
  <c r="K143" i="20"/>
  <c r="O143" i="20" s="1"/>
  <c r="K71" i="20"/>
  <c r="O71" i="20" s="1"/>
  <c r="K72" i="20"/>
  <c r="O72" i="20" s="1"/>
  <c r="K146" i="20"/>
  <c r="O146" i="20" s="1"/>
  <c r="K90" i="20"/>
  <c r="O90" i="20" s="1"/>
  <c r="K81" i="20"/>
  <c r="O81" i="20" s="1"/>
  <c r="K94" i="20"/>
  <c r="O94" i="20" s="1"/>
  <c r="P94" i="20" s="1"/>
  <c r="K79" i="20"/>
  <c r="O79" i="20" s="1"/>
  <c r="K307" i="20"/>
  <c r="O307" i="20" s="1"/>
  <c r="K332" i="20"/>
  <c r="O332" i="20" s="1"/>
  <c r="K282" i="20"/>
  <c r="O282" i="20" s="1"/>
  <c r="K288" i="20"/>
  <c r="O288" i="20" s="1"/>
  <c r="K298" i="20"/>
  <c r="O298" i="20" s="1"/>
  <c r="K247" i="20"/>
  <c r="O247" i="20" s="1"/>
  <c r="K281" i="20"/>
  <c r="O281" i="20" s="1"/>
  <c r="K239" i="20"/>
  <c r="K312" i="20"/>
  <c r="O312" i="20" s="1"/>
  <c r="K169" i="20"/>
  <c r="O169" i="20" s="1"/>
  <c r="K22" i="20"/>
  <c r="O22" i="20" s="1"/>
  <c r="K176" i="20"/>
  <c r="O176" i="20" s="1"/>
  <c r="K19" i="20"/>
  <c r="O19" i="20" s="1"/>
  <c r="K113" i="20"/>
  <c r="O113" i="20" s="1"/>
  <c r="K152" i="20"/>
  <c r="O152" i="20" s="1"/>
  <c r="K181" i="20"/>
  <c r="O181" i="20" s="1"/>
  <c r="K68" i="20"/>
  <c r="O68" i="20" s="1"/>
  <c r="K83" i="20"/>
  <c r="O83" i="20" s="1"/>
  <c r="K316" i="20"/>
  <c r="O316" i="20" s="1"/>
  <c r="K286" i="20"/>
  <c r="O286" i="20" s="1"/>
  <c r="K253" i="20"/>
  <c r="O253" i="20" s="1"/>
  <c r="K240" i="20"/>
  <c r="P240" i="20" s="1"/>
  <c r="K39" i="20"/>
  <c r="O39" i="20" s="1"/>
  <c r="P292" i="20"/>
  <c r="K124" i="20"/>
  <c r="O124" i="20" s="1"/>
  <c r="K163" i="20"/>
  <c r="O163" i="20" s="1"/>
  <c r="K134" i="20"/>
  <c r="O134" i="20" s="1"/>
  <c r="K117" i="20"/>
  <c r="O117" i="20" s="1"/>
  <c r="K160" i="20"/>
  <c r="O160" i="20" s="1"/>
  <c r="K224" i="20"/>
  <c r="O224" i="20" s="1"/>
  <c r="K201" i="20"/>
  <c r="O201" i="20" s="1"/>
  <c r="K235" i="20"/>
  <c r="O235" i="20" s="1"/>
  <c r="K196" i="20"/>
  <c r="O196" i="20" s="1"/>
  <c r="K189" i="20"/>
  <c r="O189" i="20" s="1"/>
  <c r="K136" i="20"/>
  <c r="O136" i="20" s="1"/>
  <c r="K137" i="20"/>
  <c r="O137" i="20" s="1"/>
  <c r="K66" i="20"/>
  <c r="O66" i="20" s="1"/>
  <c r="K67" i="20"/>
  <c r="O67" i="20" s="1"/>
  <c r="K140" i="20"/>
  <c r="O140" i="20" s="1"/>
  <c r="K85" i="20"/>
  <c r="O85" i="20" s="1"/>
  <c r="K88" i="20"/>
  <c r="O88" i="20" s="1"/>
  <c r="K56" i="20"/>
  <c r="O56" i="20" s="1"/>
  <c r="K327" i="20"/>
  <c r="O327" i="20" s="1"/>
  <c r="K304" i="20"/>
  <c r="K284" i="20"/>
  <c r="O284" i="20" s="1"/>
  <c r="K243" i="20"/>
  <c r="O243" i="20" s="1"/>
  <c r="K244" i="20"/>
  <c r="O244" i="20" s="1"/>
  <c r="K233" i="20"/>
  <c r="O233" i="20" s="1"/>
  <c r="K171" i="20"/>
  <c r="O171" i="20" s="1"/>
  <c r="K26" i="20"/>
  <c r="O26" i="20" s="1"/>
  <c r="K27" i="20"/>
  <c r="O27" i="20" s="1"/>
  <c r="K29" i="20"/>
  <c r="O29" i="20" s="1"/>
  <c r="K30" i="20"/>
  <c r="O30" i="20" s="1"/>
  <c r="K102" i="20"/>
  <c r="O102" i="20" s="1"/>
  <c r="K21" i="20"/>
  <c r="O21" i="20" s="1"/>
  <c r="K50" i="20"/>
  <c r="O50" i="20" s="1"/>
  <c r="K51" i="20"/>
  <c r="K52" i="20"/>
  <c r="O52" i="20" s="1"/>
  <c r="P52" i="20" s="1"/>
  <c r="K139" i="20"/>
  <c r="O139" i="20" s="1"/>
  <c r="K40" i="20"/>
  <c r="O40" i="20" s="1"/>
  <c r="K13" i="20"/>
  <c r="O13" i="20" s="1"/>
  <c r="K309" i="20"/>
  <c r="O309" i="20" s="1"/>
  <c r="K15" i="20"/>
  <c r="O15" i="20" s="1"/>
  <c r="K132" i="20"/>
  <c r="O132" i="20" s="1"/>
  <c r="K118" i="20"/>
  <c r="O118" i="20" s="1"/>
  <c r="K213" i="20"/>
  <c r="O213" i="20" s="1"/>
  <c r="K59" i="20"/>
  <c r="O59" i="20" s="1"/>
  <c r="K65" i="20"/>
  <c r="O65" i="20" s="1"/>
  <c r="K120" i="20"/>
  <c r="O120" i="20" s="1"/>
  <c r="K131" i="20"/>
  <c r="O131" i="20" s="1"/>
  <c r="K319" i="20"/>
  <c r="O319" i="20" s="1"/>
  <c r="K245" i="20"/>
  <c r="O245" i="20" s="1"/>
  <c r="K110" i="20"/>
  <c r="O110" i="20" s="1"/>
  <c r="K122" i="20"/>
  <c r="O122" i="20" s="1"/>
  <c r="K63" i="20"/>
  <c r="O63" i="20" s="1"/>
  <c r="K76" i="20"/>
  <c r="O76" i="20" s="1"/>
  <c r="K92" i="20"/>
  <c r="O92" i="20" s="1"/>
  <c r="K130" i="20"/>
  <c r="O130" i="20" s="1"/>
  <c r="K315" i="20"/>
  <c r="O315" i="20" s="1"/>
  <c r="K320" i="20"/>
  <c r="O320" i="20" s="1"/>
  <c r="K324" i="20"/>
  <c r="O324" i="20" s="1"/>
  <c r="K241" i="20"/>
  <c r="K264" i="20"/>
  <c r="O264" i="20" s="1"/>
  <c r="K14" i="20"/>
  <c r="O14" i="20" s="1"/>
  <c r="K17" i="20"/>
  <c r="O17" i="20" s="1"/>
  <c r="K161" i="20"/>
  <c r="O161" i="20" s="1"/>
  <c r="K128" i="20"/>
  <c r="O128" i="20" s="1"/>
  <c r="K156" i="20"/>
  <c r="O156" i="20" s="1"/>
  <c r="K159" i="20"/>
  <c r="O159" i="20" s="1"/>
  <c r="K200" i="20"/>
  <c r="O200" i="20" s="1"/>
  <c r="K217" i="20"/>
  <c r="O217" i="20" s="1"/>
  <c r="K236" i="20"/>
  <c r="O236" i="20" s="1"/>
  <c r="K138" i="20"/>
  <c r="O138" i="20" s="1"/>
  <c r="K74" i="20"/>
  <c r="O74" i="20" s="1"/>
  <c r="K78" i="20"/>
  <c r="O78" i="20" s="1"/>
  <c r="K80" i="20"/>
  <c r="O80" i="20" s="1"/>
  <c r="K57" i="20"/>
  <c r="O57" i="20" s="1"/>
  <c r="K303" i="20"/>
  <c r="K278" i="20"/>
  <c r="O278" i="20" s="1"/>
  <c r="K285" i="20"/>
  <c r="O285" i="20" s="1"/>
  <c r="K299" i="20"/>
  <c r="O299" i="20" s="1"/>
  <c r="K268" i="20"/>
  <c r="O268" i="20" s="1"/>
  <c r="K302" i="20"/>
  <c r="O302" i="20" s="1"/>
  <c r="K31" i="20"/>
  <c r="O31" i="20" s="1"/>
  <c r="K99" i="20"/>
  <c r="O99" i="20" s="1"/>
  <c r="K100" i="20"/>
  <c r="O100" i="20" s="1"/>
  <c r="K101" i="20"/>
  <c r="O101" i="20" s="1"/>
  <c r="K28" i="20"/>
  <c r="O28" i="20" s="1"/>
  <c r="K48" i="20"/>
  <c r="O48" i="20" s="1"/>
  <c r="K314" i="20"/>
  <c r="O314" i="20" s="1"/>
  <c r="K106" i="20"/>
  <c r="O106" i="20" s="1"/>
  <c r="K125" i="20"/>
  <c r="O125" i="20" s="1"/>
  <c r="K36" i="20"/>
  <c r="O36" i="20" s="1"/>
  <c r="K221" i="20"/>
  <c r="O221" i="20" s="1"/>
  <c r="K64" i="20"/>
  <c r="O64" i="20" s="1"/>
  <c r="K129" i="20"/>
  <c r="O129" i="20" s="1"/>
  <c r="K272" i="20"/>
  <c r="O272" i="20" s="1"/>
  <c r="K205" i="20"/>
  <c r="O205" i="20" s="1"/>
  <c r="K193" i="20"/>
  <c r="O193" i="20" s="1"/>
  <c r="K73" i="20"/>
  <c r="O73" i="20" s="1"/>
  <c r="K142" i="20"/>
  <c r="O142" i="20" s="1"/>
  <c r="K145" i="20"/>
  <c r="O145" i="20" s="1"/>
  <c r="K112" i="20"/>
  <c r="O112" i="20" s="1"/>
  <c r="K104" i="20"/>
  <c r="O104" i="20" s="1"/>
  <c r="K168" i="20"/>
  <c r="O168" i="20" s="1"/>
  <c r="K111" i="20"/>
  <c r="O111" i="20" s="1"/>
  <c r="K185" i="20"/>
  <c r="O185" i="20" s="1"/>
  <c r="K46" i="20"/>
  <c r="O46" i="20" s="1"/>
  <c r="K37" i="20"/>
  <c r="O37" i="20" s="1"/>
  <c r="K229" i="20"/>
  <c r="O229" i="20" s="1"/>
  <c r="K197" i="20"/>
  <c r="O197" i="20" s="1"/>
  <c r="K225" i="20"/>
  <c r="O225" i="20" s="1"/>
  <c r="K43" i="20"/>
  <c r="O43" i="20" s="1"/>
  <c r="K144" i="20"/>
  <c r="O144" i="20" s="1"/>
  <c r="K86" i="20"/>
  <c r="O86" i="20" s="1"/>
  <c r="K323" i="20"/>
  <c r="O323" i="20" s="1"/>
  <c r="K308" i="20"/>
  <c r="O308" i="20" s="1"/>
  <c r="K328" i="20"/>
  <c r="O328" i="20" s="1"/>
  <c r="K280" i="20"/>
  <c r="O280" i="20" s="1"/>
  <c r="K270" i="20"/>
  <c r="O270" i="20" s="1"/>
  <c r="K252" i="20"/>
  <c r="O252" i="20" s="1"/>
  <c r="K20" i="20"/>
  <c r="O20" i="20" s="1"/>
  <c r="K98" i="20"/>
  <c r="O98" i="20" s="1"/>
  <c r="K55" i="20"/>
  <c r="O55" i="20" s="1"/>
  <c r="P238" i="20"/>
  <c r="P216" i="20"/>
  <c r="P208" i="20"/>
  <c r="P289" i="20"/>
  <c r="P105" i="20"/>
  <c r="P194" i="20"/>
  <c r="P287" i="20"/>
  <c r="P127" i="20"/>
  <c r="P121" i="20"/>
  <c r="P207" i="20"/>
  <c r="P147" i="20"/>
  <c r="P261" i="20"/>
  <c r="P173" i="20"/>
  <c r="P222" i="20"/>
  <c r="P206" i="20"/>
  <c r="P190" i="20"/>
  <c r="P61" i="20"/>
  <c r="P188" i="20"/>
  <c r="P283" i="20"/>
  <c r="P267" i="20"/>
  <c r="P250" i="20"/>
  <c r="P265" i="20"/>
  <c r="P269" i="20"/>
  <c r="P170" i="20"/>
  <c r="P38" i="20"/>
  <c r="P210" i="20"/>
  <c r="P107" i="20"/>
  <c r="P191" i="20"/>
  <c r="P166" i="20"/>
  <c r="P123" i="20"/>
  <c r="P158" i="20"/>
  <c r="P178" i="20"/>
  <c r="P211" i="20"/>
  <c r="P203" i="20"/>
  <c r="P179" i="20"/>
  <c r="P256" i="20"/>
  <c r="P182" i="20"/>
  <c r="P109" i="20"/>
  <c r="P177" i="20"/>
  <c r="P165" i="20"/>
  <c r="P157" i="20"/>
  <c r="P218" i="20"/>
  <c r="P202" i="20"/>
  <c r="P301" i="20"/>
  <c r="P279" i="20"/>
  <c r="P263" i="20"/>
  <c r="P246" i="20"/>
  <c r="P259" i="20"/>
  <c r="P254" i="20"/>
  <c r="P230" i="20"/>
  <c r="P231" i="20"/>
  <c r="P164" i="20"/>
  <c r="P153" i="20"/>
  <c r="P214" i="20"/>
  <c r="P198" i="20"/>
  <c r="P195" i="20"/>
  <c r="P220" i="20"/>
  <c r="P62" i="20"/>
  <c r="P69" i="20"/>
  <c r="P70" i="20"/>
  <c r="P297" i="20"/>
  <c r="P275" i="20"/>
  <c r="P258" i="20"/>
  <c r="P242" i="20"/>
  <c r="P234" i="20"/>
  <c r="P271" i="20"/>
  <c r="P172" i="20"/>
  <c r="P149" i="20"/>
  <c r="P226" i="20"/>
  <c r="P219" i="20"/>
  <c r="P273" i="20"/>
  <c r="P119" i="20"/>
  <c r="P154" i="20"/>
  <c r="P44" i="20"/>
  <c r="P187" i="20"/>
  <c r="P162" i="20"/>
  <c r="P108" i="20"/>
  <c r="P133" i="20"/>
  <c r="P115" i="20"/>
  <c r="P183" i="20"/>
  <c r="P151" i="20"/>
  <c r="P49" i="20"/>
  <c r="P199" i="20"/>
  <c r="P77" i="20"/>
  <c r="P58" i="20"/>
  <c r="P277" i="20"/>
  <c r="F21" i="14"/>
  <c r="D24" i="25" l="1"/>
  <c r="D31" i="22"/>
  <c r="O12" i="20"/>
  <c r="P12" i="20" s="1"/>
  <c r="P71" i="20"/>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P223" i="20"/>
  <c r="R3" i="20"/>
  <c r="R4" i="20" s="1"/>
  <c r="R5" i="20" s="1"/>
  <c r="R6" i="20" s="1"/>
  <c r="R7" i="20" s="1"/>
  <c r="R8" i="20" s="1"/>
  <c r="R9" i="20" s="1"/>
  <c r="R10" i="20" s="1"/>
  <c r="R11" i="20" s="1"/>
  <c r="R12" i="20" s="1"/>
  <c r="S3" i="20"/>
  <c r="P25" i="20"/>
  <c r="P113" i="20"/>
  <c r="D23" i="25"/>
  <c r="D33" i="22"/>
  <c r="D27" i="25"/>
  <c r="D30" i="25"/>
  <c r="D30" i="22"/>
  <c r="D34" i="22"/>
  <c r="D29" i="25"/>
  <c r="D22" i="22"/>
  <c r="D24" i="22"/>
  <c r="D27" i="22"/>
  <c r="D28" i="22"/>
  <c r="D26" i="25"/>
  <c r="D36" i="22"/>
  <c r="P102" i="20"/>
  <c r="D28" i="25"/>
  <c r="D29" i="22"/>
  <c r="D25" i="22"/>
  <c r="D35" i="22"/>
  <c r="D25" i="25"/>
  <c r="P169" i="20"/>
  <c r="P45" i="20"/>
  <c r="P281" i="20"/>
  <c r="P96" i="20"/>
  <c r="P209" i="20"/>
  <c r="P257" i="20"/>
  <c r="P196" i="20"/>
  <c r="P86" i="20"/>
  <c r="P302" i="20"/>
  <c r="P56" i="20"/>
  <c r="P27" i="20"/>
  <c r="P68" i="20"/>
  <c r="P129" i="20"/>
  <c r="P285" i="20"/>
  <c r="P98" i="20"/>
  <c r="P28" i="20"/>
  <c r="P236" i="20"/>
  <c r="P76" i="20"/>
  <c r="P270" i="20"/>
  <c r="P128" i="20"/>
  <c r="P104" i="20"/>
  <c r="P225" i="20"/>
  <c r="O51" i="20"/>
  <c r="P51" i="20" s="1"/>
  <c r="P78" i="20"/>
  <c r="P185" i="20"/>
  <c r="P106" i="20"/>
  <c r="D22" i="25"/>
  <c r="O93" i="20"/>
  <c r="P93" i="20" s="1"/>
  <c r="O84" i="20"/>
  <c r="P118" i="20"/>
  <c r="P193" i="20"/>
  <c r="P37" i="20"/>
  <c r="P241" i="20"/>
  <c r="P184" i="20"/>
  <c r="P14" i="20"/>
  <c r="O16" i="20"/>
  <c r="P16" i="20" s="1"/>
  <c r="P278" i="20"/>
  <c r="P80" i="20"/>
  <c r="P282" i="20"/>
  <c r="P253" i="20"/>
  <c r="P247" i="20"/>
  <c r="P83" i="20"/>
  <c r="P140" i="20"/>
  <c r="P64" i="20"/>
  <c r="P110" i="20"/>
  <c r="P72" i="20"/>
  <c r="P204" i="20"/>
  <c r="P112" i="20"/>
  <c r="P197" i="20"/>
  <c r="P125" i="20"/>
  <c r="P252" i="20"/>
  <c r="P163" i="20"/>
  <c r="P251" i="20"/>
  <c r="P46" i="20"/>
  <c r="P156" i="20"/>
  <c r="P101" i="20"/>
  <c r="P303" i="20"/>
  <c r="P232" i="20"/>
  <c r="P180" i="20"/>
  <c r="P266" i="20"/>
  <c r="P215" i="20"/>
  <c r="P160" i="20"/>
  <c r="P22" i="20"/>
  <c r="P174" i="20"/>
  <c r="P26" i="20"/>
  <c r="P224" i="20"/>
  <c r="P264" i="20"/>
  <c r="P217" i="20"/>
  <c r="P120" i="20"/>
  <c r="P116" i="20"/>
  <c r="P280" i="20"/>
  <c r="P81" i="20"/>
  <c r="P114" i="20"/>
  <c r="P262" i="20"/>
  <c r="P54" i="20"/>
  <c r="P73" i="20"/>
  <c r="P19" i="20"/>
  <c r="P31" i="20"/>
  <c r="P229" i="20"/>
  <c r="P146" i="20"/>
  <c r="P268" i="20"/>
  <c r="P79" i="20"/>
  <c r="P126" i="20"/>
  <c r="P276" i="20"/>
  <c r="P300" i="20"/>
  <c r="P228" i="20"/>
  <c r="P88" i="20"/>
  <c r="P299" i="20"/>
  <c r="P85" i="20"/>
  <c r="P212" i="20"/>
  <c r="P284" i="20"/>
  <c r="P233" i="20"/>
  <c r="P130" i="20"/>
  <c r="P66" i="20"/>
  <c r="P255" i="20"/>
  <c r="P139" i="20"/>
  <c r="P132" i="20"/>
  <c r="P298" i="20"/>
  <c r="P288" i="20"/>
  <c r="P227" i="20"/>
  <c r="P144" i="20"/>
  <c r="P23" i="20"/>
  <c r="P117" i="20"/>
  <c r="P142" i="20"/>
  <c r="P100" i="20"/>
  <c r="P171" i="20"/>
  <c r="P92" i="20"/>
  <c r="P161" i="20"/>
  <c r="P201" i="20"/>
  <c r="P159" i="20"/>
  <c r="P176" i="20"/>
  <c r="P99" i="20"/>
  <c r="P97" i="20"/>
  <c r="P148" i="20"/>
  <c r="P39" i="20"/>
  <c r="P55" i="20"/>
  <c r="P136" i="20"/>
  <c r="P248" i="20"/>
  <c r="P186" i="20"/>
  <c r="P152" i="20"/>
  <c r="P87" i="20"/>
  <c r="P122" i="20"/>
  <c r="P41" i="20"/>
  <c r="P249" i="20"/>
  <c r="P90" i="20"/>
  <c r="P141" i="20"/>
  <c r="P91" i="20"/>
  <c r="P181" i="20"/>
  <c r="P124" i="20"/>
  <c r="P36" i="20"/>
  <c r="P15" i="20"/>
  <c r="P60" i="20"/>
  <c r="P53" i="20"/>
  <c r="P135" i="20"/>
  <c r="P155" i="20"/>
  <c r="P286" i="20"/>
  <c r="P296" i="20"/>
  <c r="P65" i="20"/>
  <c r="P59" i="20"/>
  <c r="P18" i="20"/>
  <c r="P134" i="20"/>
  <c r="P89" i="20"/>
  <c r="P13" i="20"/>
  <c r="P235" i="20"/>
  <c r="P30" i="20"/>
  <c r="P244" i="20"/>
  <c r="P74" i="20"/>
  <c r="P189" i="20"/>
  <c r="P103" i="20"/>
  <c r="P67" i="20"/>
  <c r="P75" i="20"/>
  <c r="P145" i="20"/>
  <c r="P131" i="20"/>
  <c r="P57" i="20"/>
  <c r="P272" i="20"/>
  <c r="P21" i="20"/>
  <c r="P143" i="20"/>
  <c r="P111" i="20"/>
  <c r="P175" i="20"/>
  <c r="P205" i="20"/>
  <c r="P239" i="20"/>
  <c r="P40" i="20"/>
  <c r="P200" i="20"/>
  <c r="P138" i="20"/>
  <c r="P48" i="20"/>
  <c r="P17" i="20"/>
  <c r="P20" i="20"/>
  <c r="P29" i="20"/>
  <c r="P150" i="20"/>
  <c r="P213" i="20"/>
  <c r="P137" i="20"/>
  <c r="P63" i="20"/>
  <c r="P245" i="20"/>
  <c r="P82" i="20"/>
  <c r="P47" i="20"/>
  <c r="P50" i="20"/>
  <c r="P192" i="20"/>
  <c r="P221" i="20"/>
  <c r="P168" i="20"/>
  <c r="P274" i="20"/>
  <c r="P167" i="20"/>
  <c r="P42" i="20"/>
  <c r="P43" i="20"/>
  <c r="D19" i="21" l="1"/>
  <c r="E24" i="25"/>
  <c r="F24" i="25" s="1"/>
  <c r="E31" i="22"/>
  <c r="F31" i="22" s="1"/>
  <c r="C20" i="21"/>
  <c r="E19" i="21"/>
  <c r="U5" i="20"/>
  <c r="U6" i="20" s="1"/>
  <c r="U7" i="20" s="1"/>
  <c r="U8" i="20" s="1"/>
  <c r="U9" i="20" s="1"/>
  <c r="U10" i="20" s="1"/>
  <c r="U11" i="20" s="1"/>
  <c r="U12" i="20" s="1"/>
  <c r="T335" i="20"/>
  <c r="A26" i="21" s="1"/>
  <c r="H38" i="21"/>
  <c r="P319" i="20"/>
  <c r="P314" i="20"/>
  <c r="P308" i="20"/>
  <c r="R13" i="20"/>
  <c r="S12" i="20"/>
  <c r="P328" i="20"/>
  <c r="P316" i="20"/>
  <c r="P327" i="20"/>
  <c r="P312" i="20"/>
  <c r="P306" i="20"/>
  <c r="P326" i="20"/>
  <c r="P321" i="20"/>
  <c r="P313" i="20"/>
  <c r="P331" i="20"/>
  <c r="E30" i="25"/>
  <c r="F30" i="25" s="1"/>
  <c r="P315" i="20"/>
  <c r="P309" i="20"/>
  <c r="P304" i="20"/>
  <c r="P307" i="20"/>
  <c r="P322" i="20"/>
  <c r="P325" i="20"/>
  <c r="P318" i="20"/>
  <c r="P311" i="20"/>
  <c r="P332" i="20"/>
  <c r="P324" i="20"/>
  <c r="P330" i="20"/>
  <c r="P320" i="20"/>
  <c r="P323" i="20"/>
  <c r="P329" i="20"/>
  <c r="P333" i="20"/>
  <c r="D38" i="22"/>
  <c r="P305" i="20"/>
  <c r="P310" i="20"/>
  <c r="P317" i="20"/>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c r="D37" i="22"/>
  <c r="D20" i="21"/>
  <c r="P84" i="20"/>
  <c r="P243" i="20"/>
  <c r="E22" i="25" s="1"/>
  <c r="F22" i="25" s="1"/>
  <c r="F19" i="21" l="1"/>
  <c r="E20" i="21"/>
  <c r="F20" i="21" s="1"/>
  <c r="H39" i="21"/>
  <c r="A27" i="21"/>
  <c r="U13" i="20"/>
  <c r="U14" i="20" s="1"/>
  <c r="U15" i="20" s="1"/>
  <c r="V12" i="20"/>
  <c r="R14" i="20"/>
  <c r="S13" i="20"/>
  <c r="E38" i="22"/>
  <c r="F38" i="22" s="1"/>
  <c r="F21" i="22"/>
  <c r="D40" i="22"/>
  <c r="F37" i="22"/>
  <c r="F23" i="22"/>
  <c r="E26" i="22"/>
  <c r="F26" i="22" s="1"/>
  <c r="F32" i="22"/>
  <c r="E21" i="25"/>
  <c r="F21" i="25" s="1"/>
  <c r="E39" i="22"/>
  <c r="F39" i="22" s="1"/>
  <c r="H40" i="21" l="1"/>
  <c r="U16" i="20"/>
  <c r="U17" i="20" s="1"/>
  <c r="U18" i="20" s="1"/>
  <c r="U19" i="20" s="1"/>
  <c r="U20" i="20" s="1"/>
  <c r="U21" i="20" s="1"/>
  <c r="U22" i="20" s="1"/>
  <c r="U23" i="20" s="1"/>
  <c r="U24" i="20" s="1"/>
  <c r="U25" i="20" s="1"/>
  <c r="V15" i="20"/>
  <c r="A28" i="21"/>
  <c r="R15" i="20"/>
  <c r="S14" i="20"/>
  <c r="S30" i="20"/>
  <c r="E40" i="22"/>
  <c r="F40" i="22" s="1"/>
  <c r="E31" i="25"/>
  <c r="F31" i="25" s="1"/>
  <c r="U26" i="20" l="1"/>
  <c r="V25" i="20"/>
  <c r="A29" i="21"/>
  <c r="V30" i="20"/>
  <c r="H41" i="21"/>
  <c r="R16" i="20"/>
  <c r="S15" i="20"/>
  <c r="U27" i="20" l="1"/>
  <c r="U28" i="20" s="1"/>
  <c r="U29" i="20" s="1"/>
  <c r="U30" i="20" s="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V26" i="20"/>
  <c r="H42" i="21"/>
  <c r="A30" i="21"/>
  <c r="V31" i="20"/>
  <c r="R17" i="20"/>
  <c r="R18" i="20" s="1"/>
  <c r="R19" i="20" s="1"/>
  <c r="S16" i="20"/>
  <c r="S50" i="20"/>
  <c r="U178" i="20" l="1"/>
  <c r="U179" i="20" s="1"/>
  <c r="V177" i="20"/>
  <c r="V178" i="20"/>
  <c r="R20" i="20"/>
  <c r="R21" i="20" s="1"/>
  <c r="R22" i="20" s="1"/>
  <c r="S19" i="20"/>
  <c r="V37" i="20"/>
  <c r="H43" i="21"/>
  <c r="A31" i="21"/>
  <c r="S51" i="20"/>
  <c r="U180" i="20" l="1"/>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R23"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R98" i="20" s="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S53" i="20"/>
  <c r="V53" i="20"/>
  <c r="A38" i="21"/>
  <c r="V63" i="20"/>
  <c r="H50" i="21"/>
  <c r="S64" i="20"/>
  <c r="R139" i="20" l="1"/>
  <c r="R140" i="20" s="1"/>
  <c r="R141" i="20" s="1"/>
  <c r="R142" i="20" s="1"/>
  <c r="R143" i="20" s="1"/>
  <c r="R144" i="20" s="1"/>
  <c r="R145" i="20" s="1"/>
  <c r="R146" i="20" s="1"/>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146" i="20"/>
  <c r="V56" i="20"/>
  <c r="H52" i="21"/>
  <c r="A40" i="21"/>
  <c r="S69" i="20"/>
  <c r="V57" i="20" l="1"/>
  <c r="A41" i="21"/>
  <c r="H53" i="21"/>
  <c r="S71" i="20"/>
  <c r="V58" i="20" l="1"/>
  <c r="H54" i="21"/>
  <c r="V71" i="20"/>
  <c r="A42" i="21"/>
  <c r="S72" i="20"/>
  <c r="V64" i="20" l="1"/>
  <c r="V72" i="20"/>
  <c r="H55" i="21"/>
  <c r="A43" i="21"/>
  <c r="S76" i="20"/>
  <c r="V65" i="20" l="1"/>
  <c r="A44" i="21"/>
  <c r="H56" i="21"/>
  <c r="V76" i="20"/>
  <c r="S77" i="20"/>
  <c r="V66" i="20" l="1"/>
  <c r="V77" i="20"/>
  <c r="A45" i="21"/>
  <c r="H57" i="21"/>
  <c r="S78" i="20"/>
  <c r="V67" i="20" l="1"/>
  <c r="H58" i="21"/>
  <c r="A46" i="21"/>
  <c r="S79" i="20"/>
  <c r="V68" i="20" l="1"/>
  <c r="H59" i="21"/>
  <c r="A47" i="21"/>
  <c r="S81" i="20"/>
  <c r="V69" i="20" l="1"/>
  <c r="A48" i="21"/>
  <c r="H60" i="21"/>
  <c r="S82" i="20"/>
  <c r="V70" i="20" l="1"/>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J128" i="21"/>
  <c r="K128" i="21"/>
  <c r="L128" i="21"/>
  <c r="H130" i="21"/>
  <c r="I129" i="21"/>
  <c r="M129" i="21" s="1"/>
  <c r="A118" i="21"/>
  <c r="B117" i="21"/>
  <c r="F117" i="21" s="1"/>
  <c r="B110" i="21" l="1"/>
  <c r="F110" i="21" s="1"/>
  <c r="F25" i="2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r>
          <rPr>
            <sz val="12"/>
            <color indexed="8"/>
            <rFont val="Verdana"/>
            <family val="2"/>
          </rPr>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r>
      </text>
    </comment>
  </commentList>
</comments>
</file>

<file path=xl/sharedStrings.xml><?xml version="1.0" encoding="utf-8"?>
<sst xmlns="http://schemas.openxmlformats.org/spreadsheetml/2006/main" count="6412" uniqueCount="1812">
  <si>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</si>
  <si>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</si>
  <si>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</si>
  <si>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</si>
  <si>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</si>
  <si>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</si>
  <si>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</si>
  <si>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</si>
  <si>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</si>
  <si>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</si>
  <si>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</si>
  <si>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</si>
  <si>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</si>
  <si>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</si>
  <si>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</si>
  <si>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</si>
  <si>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</si>
  <si>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</si>
  <si>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</si>
  <si>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</si>
  <si>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</si>
  <si>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</si>
  <si>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</si>
  <si>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</si>
  <si>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</si>
  <si>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</si>
  <si>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</si>
  <si>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</si>
  <si>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</si>
  <si>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</si>
  <si>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</si>
  <si>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</si>
  <si>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</si>
  <si>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</si>
  <si>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</si>
  <si>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</si>
  <si>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</si>
  <si>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</si>
  <si>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</si>
  <si>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</si>
  <si>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</si>
  <si>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</si>
  <si>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</si>
  <si>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</si>
  <si>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</si>
  <si>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</si>
  <si>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</si>
  <si>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</si>
  <si>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</si>
  <si>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</si>
  <si>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</si>
  <si>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</si>
  <si>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</si>
  <si>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</si>
  <si>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</si>
  <si>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</si>
  <si>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</si>
  <si>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</si>
  <si>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</si>
  <si>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</si>
  <si>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</si>
  <si>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</si>
  <si>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</si>
  <si>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</si>
  <si>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</si>
  <si>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</si>
  <si>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</si>
  <si>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</si>
  <si>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</si>
  <si>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</si>
  <si>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</si>
  <si>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</si>
  <si>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</si>
  <si>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</si>
  <si>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</si>
  <si>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</si>
  <si>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</si>
  <si>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</si>
  <si>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</si>
  <si>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</si>
  <si>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</si>
  <si>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</si>
  <si>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</si>
  <si>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</si>
  <si>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</si>
  <si>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</si>
  <si>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</si>
  <si>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</si>
  <si>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</si>
  <si>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</si>
  <si>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</si>
  <si>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</si>
  <si>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</si>
  <si>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</si>
  <si>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</si>
  <si>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</si>
  <si>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</si>
  <si>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</si>
  <si>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</si>
  <si>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</si>
  <si>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</si>
  <si>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</si>
  <si>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</si>
  <si>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</si>
  <si>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</si>
  <si>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</si>
  <si>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</si>
  <si>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</si>
  <si>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</si>
  <si>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</si>
  <si>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</si>
  <si>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</si>
  <si>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</si>
  <si>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</si>
  <si>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</si>
  <si>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</si>
  <si>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</si>
  <si>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</si>
  <si>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</si>
  <si>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</si>
  <si>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</si>
  <si>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</si>
  <si>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</si>
  <si>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</si>
  <si>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</si>
  <si>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</si>
  <si>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</si>
  <si>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</si>
  <si>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</si>
  <si>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</si>
  <si>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</si>
  <si>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</si>
  <si>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</si>
  <si>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</si>
  <si>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</si>
  <si>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</si>
  <si>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</si>
  <si>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</si>
  <si>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</si>
  <si>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</si>
  <si>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</si>
  <si>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</si>
  <si>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</si>
  <si>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</si>
  <si>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</si>
  <si>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</si>
  <si>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</si>
  <si>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</si>
  <si>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</si>
  <si>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</si>
  <si>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</si>
  <si>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</si>
  <si>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</si>
  <si>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</si>
  <si>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</si>
  <si>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</si>
  <si>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</si>
  <si>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</si>
  <si>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No need to answer CONS-07</t>
  </si>
  <si>
    <t>CONS-07</t>
  </si>
  <si>
    <t>CONS-08</t>
  </si>
  <si>
    <t>Will the consultant need remote access to the institution's network or systems?</t>
  </si>
  <si>
    <t>No need to answer CONS-09</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</si>
  <si>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</si>
  <si>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</si>
  <si>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</si>
  <si>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</si>
  <si>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</si>
  <si>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</si>
  <si>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</si>
  <si>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</si>
  <si>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</si>
  <si>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</si>
  <si>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</si>
  <si>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</si>
  <si>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</si>
  <si>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</si>
  <si>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</si>
  <si>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</si>
  <si>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</si>
  <si>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</si>
  <si>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</si>
  <si>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Do you have a process and implemented procedures for managing your software supply chain (e.g., libraries, repositories, frameworks, etc.)</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</si>
  <si>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</si>
  <si>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</si>
  <si>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</si>
  <si>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</si>
  <si>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</si>
  <si>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</si>
  <si>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</si>
  <si>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</si>
  <si>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</si>
  <si>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</si>
  <si>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</si>
  <si>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</si>
  <si>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</si>
  <si>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</si>
  <si>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</si>
  <si>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</si>
  <si>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</si>
  <si>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</si>
  <si>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</si>
  <si>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</si>
  <si>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</si>
  <si>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</si>
  <si>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</si>
  <si>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</si>
  <si>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</si>
  <si>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</si>
  <si>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</si>
  <si>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</si>
  <si>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</si>
  <si>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</si>
  <si>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</si>
  <si>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</si>
  <si>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</si>
  <si>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</si>
  <si>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</si>
  <si>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</si>
  <si>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</si>
  <si>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</si>
  <si>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</si>
  <si>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</si>
  <si>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</si>
  <si>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</si>
  <si>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</si>
  <si>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</si>
  <si>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</si>
  <si>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</si>
  <si>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</si>
  <si>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</si>
  <si>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</si>
  <si>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</si>
  <si>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</si>
  <si>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</si>
  <si>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</si>
  <si>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</si>
  <si>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</si>
  <si>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</si>
  <si>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</si>
  <si>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</si>
  <si>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</si>
  <si>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</si>
  <si>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</si>
  <si>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</si>
  <si>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</si>
  <si>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</si>
  <si>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</si>
  <si>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</si>
  <si>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</si>
  <si>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</si>
  <si>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</si>
  <si>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</si>
  <si>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</si>
  <si>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</si>
  <si>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</si>
  <si>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</si>
  <si>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</si>
  <si>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</si>
  <si>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</si>
  <si>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</si>
  <si>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</si>
  <si>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</si>
  <si>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</si>
  <si>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</si>
  <si>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</si>
  <si>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</si>
  <si>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</si>
  <si>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</si>
  <si>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</si>
  <si>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</si>
  <si>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</si>
  <si>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</si>
  <si>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</si>
  <si>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</si>
  <si>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</si>
  <si>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</si>
  <si>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</si>
  <si>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</si>
  <si>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</si>
  <si>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</si>
  <si>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</si>
  <si>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</si>
  <si>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</si>
  <si>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</si>
  <si>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</si>
  <si>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</si>
  <si>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Please describe any plans to implement third-party library dependancy tracking.</t>
  </si>
  <si>
    <t>Please describe your program to track these dependancies.</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</si>
  <si>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</si>
  <si>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</si>
  <si>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</si>
  <si>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</si>
  <si>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</si>
  <si>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</si>
  <si>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</si>
  <si>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Provide reference the the process/procedure to manage releases.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</si>
  <si>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</si>
  <si>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</si>
  <si>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</si>
  <si>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</si>
  <si>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</si>
  <si>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</si>
  <si>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</si>
  <si>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</si>
  <si>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</si>
  <si>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</si>
  <si>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</si>
  <si>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</si>
  <si>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</si>
  <si>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</si>
  <si>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</si>
  <si>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</si>
  <si>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</si>
  <si>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</si>
  <si>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</si>
  <si>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</si>
  <si>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</si>
  <si>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</si>
  <si>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</si>
  <si>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</si>
  <si>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</si>
  <si>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</si>
  <si>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</si>
  <si>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</si>
  <si>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</si>
  <si>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</si>
  <si>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</si>
  <si>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</si>
  <si>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</si>
  <si>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</si>
  <si>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Summarize your implemented system configuration management precess.</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</si>
  <si>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</si>
  <si>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</si>
  <si>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</si>
  <si>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</si>
  <si>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</si>
  <si>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</si>
  <si>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</si>
  <si>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</si>
  <si>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</si>
  <si>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</si>
  <si>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</si>
  <si>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</si>
  <si>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</si>
  <si>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</si>
  <si>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</si>
  <si>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</si>
  <si>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</si>
  <si>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</si>
  <si>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</si>
  <si>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</si>
  <si>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</si>
  <si>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</si>
  <si>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</si>
  <si>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</si>
  <si>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</si>
  <si>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</si>
  <si>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</si>
  <si>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</si>
  <si>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</si>
  <si>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</si>
  <si>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</si>
  <si>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</si>
  <si>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</si>
  <si>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</si>
  <si>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Provide reference to your data ownership documention.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</si>
  <si>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</si>
  <si>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</si>
  <si>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</si>
  <si>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</si>
  <si>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</si>
  <si>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</si>
  <si>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</si>
  <si>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</si>
  <si>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</si>
  <si>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</si>
  <si>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</si>
  <si>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</si>
  <si>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</si>
  <si>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</si>
  <si>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</si>
  <si>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</si>
  <si>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</si>
  <si>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</si>
  <si>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Follow-up inquiries for backup content scope will be institution/implementation specific.</t>
  </si>
  <si>
    <t>DATA-14</t>
  </si>
  <si>
    <t>DATA-15</t>
  </si>
  <si>
    <t>When data is moved physically (e.g.,HDD, print, etc.) off-site, the policies and implemented procedures are important to know. Unencrypted data taken outside secured areas introduces unnecessary risks.</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</si>
  <si>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</si>
  <si>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</si>
  <si>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</si>
  <si>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</si>
  <si>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</si>
  <si>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</si>
  <si>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</si>
  <si>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</si>
  <si>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</si>
  <si>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</si>
  <si>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</si>
  <si>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</si>
  <si>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</si>
  <si>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</si>
  <si>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</si>
  <si>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</si>
  <si>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</si>
  <si>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</si>
  <si>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</si>
  <si>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</si>
  <si>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</si>
  <si>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</si>
  <si>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</si>
  <si>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</si>
  <si>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</si>
  <si>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</si>
  <si>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</si>
  <si>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</si>
  <si>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</si>
  <si>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</si>
  <si>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</si>
  <si>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</si>
  <si>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</si>
  <si>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</si>
  <si>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</si>
  <si>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</si>
  <si>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</si>
  <si>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</si>
  <si>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</si>
  <si>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</si>
  <si>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</si>
  <si>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</si>
  <si>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</si>
  <si>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</si>
  <si>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</si>
  <si>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</si>
  <si>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</si>
  <si>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</si>
  <si>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</si>
  <si>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</si>
  <si>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</si>
  <si>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</si>
  <si>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</si>
  <si>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</si>
  <si>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</si>
  <si>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</si>
  <si>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</si>
  <si>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</si>
  <si>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</si>
  <si>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</si>
  <si>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</si>
  <si>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</si>
  <si>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</si>
  <si>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</si>
  <si>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</si>
  <si>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</si>
  <si>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</si>
  <si>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</si>
  <si>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</si>
  <si>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</si>
  <si>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</si>
  <si>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</si>
  <si>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</si>
  <si>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</si>
  <si>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</si>
  <si>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</si>
  <si>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</si>
  <si>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</si>
  <si>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</si>
  <si>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</si>
  <si>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</si>
  <si>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</si>
  <si>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</si>
  <si>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</si>
  <si>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</si>
  <si>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</si>
  <si>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</si>
  <si>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</si>
  <si>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</si>
  <si>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</si>
  <si>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</si>
  <si>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</si>
  <si>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</si>
  <si>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</si>
  <si>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</si>
  <si>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</si>
  <si>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</si>
  <si>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</si>
  <si>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</si>
  <si>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</si>
  <si>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</si>
  <si>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</si>
  <si>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</si>
  <si>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</si>
  <si>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</si>
  <si>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</si>
  <si>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</si>
  <si>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</si>
  <si>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</si>
  <si>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</si>
  <si>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</si>
  <si>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</si>
  <si>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</si>
  <si>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</si>
  <si>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</si>
  <si>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</si>
  <si>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</si>
  <si>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</si>
  <si>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</si>
  <si>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</si>
  <si>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</si>
  <si>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</si>
  <si>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</si>
  <si>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</si>
  <si>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</si>
  <si>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</si>
  <si>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</si>
  <si>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</si>
  <si>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</si>
  <si>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</si>
  <si>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</si>
  <si>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</si>
  <si>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</si>
  <si>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</si>
  <si>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</si>
  <si>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</si>
  <si>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</si>
  <si>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</si>
  <si>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</si>
  <si>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</si>
  <si>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</si>
  <si>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Summarize why you will not comple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</si>
  <si>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</si>
  <si>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</si>
  <si>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</si>
  <si>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</si>
  <si>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</si>
  <si>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</si>
  <si>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</si>
  <si>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</si>
  <si>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</si>
  <si>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</si>
  <si>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</si>
  <si>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</si>
  <si>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</si>
  <si>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</si>
  <si>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</si>
  <si>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</si>
  <si>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</si>
  <si>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</si>
  <si>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</si>
  <si>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</si>
  <si>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</si>
  <si>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</si>
  <si>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</si>
  <si>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</si>
  <si>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</si>
  <si>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</si>
  <si>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</si>
  <si>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</si>
  <si>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</si>
  <si>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</si>
  <si>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</si>
  <si>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</si>
  <si>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</si>
  <si>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</si>
  <si>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</si>
  <si>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</si>
  <si>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</si>
  <si>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</si>
  <si>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</si>
  <si>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</si>
  <si>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</si>
  <si>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</si>
  <si>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</si>
  <si>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</si>
  <si>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</si>
  <si>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</si>
  <si>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</si>
  <si>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</si>
  <si>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</si>
  <si>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</si>
  <si>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</si>
  <si>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</si>
  <si>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</si>
  <si>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</si>
  <si>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</si>
  <si>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</si>
  <si>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</si>
  <si>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VULN-01</t>
  </si>
  <si>
    <t>Are your systems and applications regularly scanned externally for vulnerabilities?</t>
  </si>
  <si>
    <t>Describe any plans to implement external vulnerability scanning for your applications.</t>
  </si>
  <si>
    <t>Decribe your external application vulnerability scanning strategy.</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</si>
  <si>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</si>
  <si>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</si>
  <si>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</si>
  <si>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</si>
  <si>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</si>
  <si>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</si>
  <si>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</si>
  <si>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</si>
  <si>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</si>
  <si>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</si>
  <si>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</si>
  <si>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</si>
  <si>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</si>
  <si>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</si>
  <si>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</si>
  <si>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</si>
  <si>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</si>
  <si>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</si>
  <si>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</si>
  <si>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</si>
  <si>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</si>
  <si>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</si>
  <si>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</si>
  <si>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</si>
  <si>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</si>
  <si>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</si>
  <si>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</si>
  <si>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</si>
  <si>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</si>
  <si>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</si>
  <si>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</si>
  <si>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</si>
  <si>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</si>
  <si>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</si>
  <si>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</si>
  <si>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</si>
  <si>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</si>
  <si>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</si>
  <si>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</si>
  <si>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</si>
  <si>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</si>
  <si>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</si>
  <si>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</si>
  <si>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</si>
  <si>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</si>
  <si>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</si>
  <si>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</si>
  <si>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</si>
  <si>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</si>
  <si>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</si>
  <si>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</si>
  <si>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</si>
  <si>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</si>
  <si>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</si>
  <si>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</si>
  <si>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</si>
  <si>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</si>
  <si>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</si>
  <si>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</si>
  <si>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</si>
  <si>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</si>
  <si>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</si>
  <si>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</si>
  <si>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</si>
  <si>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</si>
  <si>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</si>
  <si>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</si>
  <si>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</si>
  <si>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</si>
  <si>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</si>
  <si>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</si>
  <si>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</si>
  <si>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</si>
  <si>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</si>
  <si>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</si>
  <si>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</si>
  <si>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</si>
  <si>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</si>
  <si>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</si>
  <si>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</si>
  <si>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</si>
  <si>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</si>
  <si>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</si>
  <si>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</si>
  <si>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</si>
  <si>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</si>
  <si>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</si>
  <si>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</si>
  <si>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</si>
  <si>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</si>
  <si>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</si>
  <si>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</si>
  <si>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</si>
  <si>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</si>
  <si>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</si>
  <si>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</si>
  <si>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</si>
  <si>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</si>
  <si>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</si>
  <si>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</si>
  <si>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</si>
  <si>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</si>
  <si>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</si>
  <si>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</si>
  <si>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</si>
  <si>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</si>
  <si>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</si>
  <si>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</si>
  <si>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</si>
  <si>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</si>
  <si>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</si>
  <si>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</si>
  <si>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</si>
  <si>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</si>
  <si>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</si>
  <si>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</si>
  <si>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</si>
  <si>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</si>
  <si>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</si>
  <si>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</si>
  <si>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</si>
  <si>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</si>
  <si>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</si>
  <si>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</si>
  <si>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Describe your Data Privacy Office or plans, including size, talents, resources, etc.</t>
  </si>
  <si>
    <t>PCOM-02</t>
  </si>
  <si>
    <t>Provide documentation about the data breach and the resolution.</t>
  </si>
  <si>
    <t>PCOM-03</t>
  </si>
  <si>
    <t>Have you had any data privacy policy or law violations in the past 36 months?</t>
  </si>
  <si>
    <t>Provide documentation about the data breach or privacy incident and the resolution.</t>
  </si>
  <si>
    <t>PCOM-04</t>
  </si>
  <si>
    <t>PDOC-01</t>
  </si>
  <si>
    <t>PDOC-02</t>
  </si>
  <si>
    <t>Provide any plans to conform.</t>
  </si>
  <si>
    <t>PDOC-03</t>
  </si>
  <si>
    <t>Does your employee onboarding and offboarding policy include training of employees on information security and data privacy?</t>
  </si>
  <si>
    <t>PTHP-01</t>
  </si>
  <si>
    <t xml:space="preserve">Do you perform privacy impact assesments of third parties that collect, process, or have access to personal data to ensure they meet industry and regulatory standards and to mitigate harmful, unethical, or discriminatory impacts on data subjects? </t>
  </si>
  <si>
    <t>State your plans to perform data privacy assessments of third parties.</t>
  </si>
  <si>
    <t>Provide a summary of your practices that assures that the third party will be subject to the appropriate standards regarding data privacy.</t>
  </si>
  <si>
    <t>PTHP-02</t>
  </si>
  <si>
    <t>PCHG-01</t>
  </si>
  <si>
    <t>Does your change management process include privacy review and approval?</t>
  </si>
  <si>
    <t xml:space="preserve">Please describe your process for privacy review. </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</si>
  <si>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</si>
  <si>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</si>
  <si>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</si>
  <si>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</si>
  <si>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</si>
  <si>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</si>
  <si>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Please indicate which regulatory requirements apply and how you comply.</t>
  </si>
  <si>
    <t>PDAT-03</t>
  </si>
  <si>
    <t xml:space="preserve">Describe which demographic information you handle. </t>
  </si>
  <si>
    <t>PDAT-04</t>
  </si>
  <si>
    <t xml:space="preserve">Briefly summarize your use of such informatoin and the protection thereof. </t>
  </si>
  <si>
    <t>PDAT-05</t>
  </si>
  <si>
    <t>PDAT-06</t>
  </si>
  <si>
    <t>PDAT-07</t>
  </si>
  <si>
    <t>Describe the tracking component and what is done with the information.</t>
  </si>
  <si>
    <t>PDAT-08</t>
  </si>
  <si>
    <t>PRPO-01</t>
  </si>
  <si>
    <t>Do you have a documented privacy management process?</t>
  </si>
  <si>
    <t>Are there plans to implement?</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</si>
  <si>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</si>
  <si>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</si>
  <si>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</si>
  <si>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</si>
  <si>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</si>
  <si>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</si>
  <si>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State how quickly the institution will be notified.</t>
  </si>
  <si>
    <t>PRPO-04</t>
  </si>
  <si>
    <t>Will you comply with the institution's policies regarding user privacy and data protection?</t>
  </si>
  <si>
    <t>PRPO-05</t>
  </si>
  <si>
    <t>Is your company subject to the laws and regulations of the institution's geographic region?</t>
  </si>
  <si>
    <t>PRPO-06</t>
  </si>
  <si>
    <t>Describe plans to include data privacy training.</t>
  </si>
  <si>
    <t>PRPO-07</t>
  </si>
  <si>
    <t>Is privacy awareness training mandatory for all employees?</t>
  </si>
  <si>
    <t>Describe plans to require.</t>
  </si>
  <si>
    <t>Summarize your privacy awareness training content and state how frequently employees are required to undergo privacy awareness training</t>
  </si>
  <si>
    <t>PRPO-08</t>
  </si>
  <si>
    <t>Is AI privacy and ethics awareness/training required for all employees who work with AI?</t>
  </si>
  <si>
    <t>Describe plans to include AI training.</t>
  </si>
  <si>
    <t>PRPO-09</t>
  </si>
  <si>
    <t>Provide list of all fully automated decision-making processes.</t>
  </si>
  <si>
    <t>PRPO-10</t>
  </si>
  <si>
    <t>Do you have a documented process for managing automated processing, including validations, monitoring, and data subject requests?</t>
  </si>
  <si>
    <t>Provide documentation describing management processes.</t>
  </si>
  <si>
    <t>PRPO-11</t>
  </si>
  <si>
    <t>Do you have a documented policy for sharing information with law enforcement?</t>
  </si>
  <si>
    <t>Provide a high-level overview of the policy or plans to implement a policy.</t>
  </si>
  <si>
    <t>PRPO-12</t>
  </si>
  <si>
    <t xml:space="preserve">Describe the circumstances in which you share with law enforcement. </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</si>
  <si>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</si>
  <si>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</si>
  <si>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</si>
  <si>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</si>
  <si>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</si>
  <si>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</si>
  <si>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</si>
  <si>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</si>
  <si>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</si>
  <si>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</si>
  <si>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</si>
  <si>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</si>
  <si>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</si>
  <si>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</si>
  <si>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</si>
  <si>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</si>
  <si>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</si>
  <si>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</si>
  <si>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</si>
  <si>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</si>
  <si>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</si>
  <si>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</si>
  <si>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</si>
  <si>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</si>
  <si>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</si>
  <si>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</si>
  <si>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</si>
  <si>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</si>
  <si>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</si>
  <si>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</si>
  <si>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</si>
  <si>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</si>
  <si>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</si>
  <si>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Trigger for ML Questions</t>
  </si>
  <si>
    <t>AIQU-02</t>
  </si>
  <si>
    <t>Trigger for LLM Questions</t>
  </si>
  <si>
    <t>AIGN-01</t>
  </si>
  <si>
    <t>Looking for the capabilities, use-case, goals, and benefits of the AI model or feature(s).</t>
  </si>
  <si>
    <t>AIGN-02</t>
  </si>
  <si>
    <t>Examples include AI RMF, OWASP Top 10, RAFT, MITRE ATLAS.</t>
  </si>
  <si>
    <t>AIGN-03</t>
  </si>
  <si>
    <t>AIGN-04</t>
  </si>
  <si>
    <t>Looking for business rules, model assertions, or prediction limiters to mitigate exposure of senstive data through model inputs.</t>
  </si>
  <si>
    <t>AIGN-05</t>
  </si>
  <si>
    <t>Provide the responsible AI training provided to your staff and its frequency.</t>
  </si>
  <si>
    <t>AIPL-01</t>
  </si>
  <si>
    <t>AIPL-02</t>
  </si>
  <si>
    <t>AIPL-03</t>
  </si>
  <si>
    <t>AIPL-04</t>
  </si>
  <si>
    <t>AIPL-05</t>
  </si>
  <si>
    <t>AISC-01</t>
  </si>
  <si>
    <t>AISC-02</t>
  </si>
  <si>
    <t>AISC-03</t>
  </si>
  <si>
    <t>Looking for SAST (Static Application Security Testing) and SBOM (Software Bill of Materials) attestations.</t>
  </si>
  <si>
    <t>AISC-04</t>
  </si>
  <si>
    <t>AISC-05</t>
  </si>
  <si>
    <t>Looking for the ability to audit AI feature(s) for a regulated data audit or incident response.</t>
  </si>
  <si>
    <t>AIML-01</t>
  </si>
  <si>
    <t>Looking for policies/procedures about validating and verifying any data used to train the model through validation checks and employing multiple data labelers to validate the accuracy of the data labeling.</t>
  </si>
  <si>
    <t>AIML-02</t>
  </si>
  <si>
    <t>Looking for protection of training data.</t>
  </si>
  <si>
    <t>AIML-03</t>
  </si>
  <si>
    <t>Have you limited access to your ML training data to only staff with an explicit business need?</t>
  </si>
  <si>
    <t>Looking for limited access to training data.</t>
  </si>
  <si>
    <t>AIML-04</t>
  </si>
  <si>
    <t>Is your ML training data monitored and audited?</t>
  </si>
  <si>
    <t>Looking for how you reduce the risk of compromising training data.</t>
  </si>
  <si>
    <t>AIML-05</t>
  </si>
  <si>
    <t>Looking for adversarial training or models that incorporate other defense mechanisms.</t>
  </si>
  <si>
    <t>AIML-06</t>
  </si>
  <si>
    <t>Looking for model transparency, logging of inputs and outputs, explainations for the model's predictions, and allowing the users to inspect the model's internal representations.</t>
  </si>
  <si>
    <t>AIML-07</t>
  </si>
  <si>
    <t>Do you watermark your ML training data?</t>
  </si>
  <si>
    <t>Looking for watermarking of training data to aid in your incident response.</t>
  </si>
  <si>
    <t>AIML-08</t>
  </si>
  <si>
    <t>Looking for authentication and verification of feedback of the ML model to address the risk of model skewing.</t>
  </si>
  <si>
    <t>AILM-01</t>
  </si>
  <si>
    <t>AILM-02</t>
  </si>
  <si>
    <t>Looking for policies/procedures for validating and verifying any data used to train the model through validation checks and employing multiple data labelers to validate the accuracy of the data labeling.</t>
  </si>
  <si>
    <t>AILM-03</t>
  </si>
  <si>
    <t>Looking for resource use limits to mitigate denial of service (DoS) attacks.</t>
  </si>
  <si>
    <t>AILM-04</t>
  </si>
  <si>
    <t xml:space="preserve">Looking for human intervention prior to LLM feature actions to mitigate permissions issues and unauthorized actions. </t>
  </si>
  <si>
    <t>AILM-05</t>
  </si>
  <si>
    <t>Looking for a limitation of plugins called per request to help limit data leakage and privilege escalation.</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</si>
  <si>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</si>
  <si>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</si>
  <si>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</si>
  <si>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</si>
  <si>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</si>
  <si>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Looking for fact-checking and accuracy tuning of the LLM outputs.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</si>
  <si>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</si>
  <si>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</si>
  <si>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</si>
  <si>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</si>
  <si>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</si>
  <si>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</si>
  <si>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</si>
  <si>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</si>
  <si>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</si>
  <si>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</si>
  <si>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</si>
  <si>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</si>
  <si>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</si>
  <si>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</si>
  <si>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</si>
  <si>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</si>
  <si>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</si>
  <si>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</si>
  <si>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</si>
  <si>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</si>
  <si>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</si>
  <si>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</si>
  <si>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</si>
  <si>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</si>
  <si>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</si>
  <si>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</si>
  <si>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</si>
  <si>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</si>
  <si>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</si>
  <si>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</si>
  <si>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</si>
  <si>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</si>
  <si>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</si>
  <si>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</si>
  <si>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</si>
  <si>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</si>
  <si>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</si>
  <si>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</si>
  <si>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</si>
  <si>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</si>
  <si>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</si>
  <si>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</si>
  <si>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</si>
  <si>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</si>
  <si>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</si>
  <si>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</si>
  <si>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</si>
  <si>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</si>
  <si>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</si>
  <si>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</si>
  <si>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</si>
  <si>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</si>
  <si>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</si>
  <si>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</si>
  <si>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</si>
  <si>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</si>
  <si>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</si>
  <si>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</si>
  <si>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</si>
  <si>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</si>
  <si>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</si>
  <si>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</si>
  <si>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</si>
  <si>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</si>
  <si>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</si>
  <si>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</si>
  <si>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</si>
  <si>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</si>
  <si>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</si>
  <si>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</si>
  <si>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</si>
  <si>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</si>
  <si>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</si>
  <si>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</si>
  <si>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</si>
  <si>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</si>
  <si>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</si>
  <si>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</si>
  <si>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</si>
  <si>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</si>
  <si>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</si>
  <si>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</si>
  <si>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</si>
  <si>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</si>
  <si>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</si>
  <si>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</si>
  <si>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</si>
  <si>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</si>
  <si>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</si>
  <si>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</si>
  <si>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</si>
  <si>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</si>
  <si>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</si>
  <si>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</si>
  <si>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</si>
  <si>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</si>
  <si>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</si>
  <si>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</si>
  <si>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</si>
  <si>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</si>
  <si>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</si>
  <si>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</si>
  <si>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</si>
  <si>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</si>
  <si>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</si>
  <si>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</si>
  <si>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</si>
  <si>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</si>
  <si>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</si>
  <si>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</si>
  <si>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</si>
  <si>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</si>
  <si>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</si>
  <si>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</si>
  <si>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</si>
  <si>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</si>
  <si>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</si>
  <si>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</si>
  <si>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</si>
  <si>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</si>
  <si>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</si>
  <si>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</si>
  <si>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</si>
  <si>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</si>
  <si>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</si>
  <si>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</si>
  <si>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</si>
  <si>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</si>
  <si>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</si>
  <si>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</si>
  <si>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</si>
  <si>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</si>
  <si>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</si>
  <si>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</si>
  <si>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</si>
  <si>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</si>
  <si>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</si>
  <si>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</si>
  <si>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</si>
  <si>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</si>
  <si>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</si>
  <si>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</si>
  <si>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</si>
  <si>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</si>
  <si>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</si>
  <si>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</si>
  <si>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</si>
  <si>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Jump To</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</si>
  <si>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</si>
  <si>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</si>
  <si>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</si>
  <si>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</si>
  <si>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</si>
  <si>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</si>
  <si>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</si>
  <si>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</si>
  <si>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</si>
  <si>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</si>
  <si>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</si>
  <si>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</si>
  <si>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</si>
  <si>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</si>
  <si>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</si>
  <si>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</si>
  <si>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</si>
  <si>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</si>
  <si>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</si>
  <si>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</si>
  <si>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</si>
  <si>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</si>
  <si>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</si>
  <si>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</si>
  <si>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</si>
  <si>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</si>
  <si>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</si>
  <si>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</si>
  <si>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</si>
  <si>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</si>
  <si>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</si>
  <si>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</si>
  <si>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</si>
  <si>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</si>
  <si>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</si>
  <si>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Are these rights retained even through a provider acquisition or bankruptcy event?*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</si>
  <si>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</si>
  <si>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</si>
  <si>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</si>
  <si>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</si>
  <si>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</si>
  <si>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</si>
  <si>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</si>
  <si>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</si>
  <si>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</si>
  <si>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</si>
  <si>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</si>
  <si>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</si>
  <si>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</si>
  <si>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</si>
  <si>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</si>
  <si>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</si>
  <si>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</si>
  <si>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</si>
  <si>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</si>
  <si>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</si>
  <si>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Do you share any institutional data with law enforcement without a valid warrant?*</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</si>
  <si>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</si>
  <si>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</si>
  <si>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</si>
  <si>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</si>
  <si>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</si>
  <si>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</si>
  <si>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</si>
  <si>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</si>
  <si>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</si>
  <si>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r>
      <t>Connect</t>
    </r>
    <r>
      <rPr>
        <u/>
        <sz val="12"/>
        <color theme="10"/>
        <rFont val="Verdana"/>
        <family val="2"/>
      </rPr>
      <t xml:space="preserve"> with your higher education peers by joining the EDUCAUSE HECVAT Users Community Group</t>
    </r>
  </si>
  <si>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</si>
  <si>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</si>
  <si>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</si>
  <si>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</si>
  <si>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</si>
  <si>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</si>
  <si>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</si>
  <si>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</si>
  <si>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</si>
  <si>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</si>
  <si>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</si>
  <si>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</si>
  <si>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</si>
  <si>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</si>
  <si>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</si>
  <si>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</si>
  <si>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</si>
  <si>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</si>
  <si>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</si>
  <si>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</si>
  <si>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</si>
  <si>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</si>
  <si>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</si>
  <si>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</si>
  <si>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</si>
  <si>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</si>
  <si>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</si>
  <si>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</si>
  <si>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</si>
  <si>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</si>
  <si>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</si>
  <si>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</si>
  <si>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</si>
  <si>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</si>
  <si>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</si>
  <si>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</si>
  <si>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</si>
  <si>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</si>
  <si>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</si>
  <si>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</si>
  <si>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</si>
  <si>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Knowing the protections and legal agreements in place for third-party data sharing may assist analysts in determininng residual risk.</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</si>
  <si>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</si>
  <si>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</si>
  <si>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</si>
  <si>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</si>
  <si>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</si>
  <si>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</si>
  <si>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</si>
  <si>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</si>
  <si>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</si>
  <si>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</si>
  <si>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 you have an implemented system configuration management process (e.g.,secure "gold" images, etc.)?*</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</si>
  <si>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</si>
  <si>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</si>
  <si>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</si>
  <si>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</si>
  <si>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</si>
  <si>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</si>
  <si>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</si>
  <si>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</si>
  <si>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</si>
  <si>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</si>
  <si>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</si>
  <si>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</si>
  <si>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</si>
  <si>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</si>
  <si>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</si>
  <si>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</si>
  <si>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</si>
  <si>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</si>
  <si>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</si>
  <si>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</si>
  <si>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</si>
  <si>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Provide a detailed description of the implemented strategy (i.e.,batteries, generator).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</si>
  <si>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</si>
  <si>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</si>
  <si>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</si>
  <si>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</si>
  <si>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</si>
  <si>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</si>
  <si>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</si>
  <si>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</si>
  <si>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</si>
  <si>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</si>
  <si>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</si>
  <si>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</si>
  <si>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</si>
  <si>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</si>
  <si>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</si>
  <si>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</si>
  <si>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</si>
  <si>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</si>
  <si>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</si>
  <si>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</si>
  <si>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</si>
  <si>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</si>
  <si>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</si>
  <si>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</si>
  <si>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</si>
  <si>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Explain why.</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</si>
  <si>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</si>
  <si>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</si>
  <si>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</si>
  <si>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</si>
  <si>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</si>
  <si>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Looking for granular access for and ability to disable AI-related features.</t>
  </si>
  <si>
    <t>Looking for responsible AI development policies and practices.</t>
  </si>
  <si>
    <t>Looking for documentation and policies around measuring AI risk.</t>
  </si>
  <si>
    <t>Looking for harm reduction as part of responsible AI development per NIST AI RMF, page 25.</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</si>
  <si>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</si>
  <si>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</si>
  <si>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</si>
  <si>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</si>
  <si>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Looking for the LLM tool's privileges and permissions with consideration of the principle of least privilege.</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</si>
  <si>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</si>
  <si>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</si>
  <si>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</si>
  <si>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</si>
  <si>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</si>
  <si>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</si>
  <si>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</si>
  <si>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</si>
  <si>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</si>
  <si>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</si>
  <si>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</si>
  <si>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</si>
  <si>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</si>
  <si>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</si>
  <si>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</si>
  <si>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</si>
  <si>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</si>
  <si>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</si>
  <si>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</si>
  <si>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</si>
  <si>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</si>
  <si>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</si>
  <si>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</si>
  <si>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</si>
  <si>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</si>
  <si>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</si>
  <si>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</si>
  <si>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</si>
  <si>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</si>
  <si>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</si>
  <si>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</si>
  <si>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</si>
  <si>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</si>
  <si>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</si>
  <si>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</si>
  <si>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</si>
  <si>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</si>
  <si>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</si>
  <si>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</si>
  <si>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Answer "yes" if your solution has internal limits to password complexity (max langth, certain special characters unsupported, etc.).</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</si>
  <si>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</si>
  <si>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</si>
  <si>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</si>
  <si>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</si>
  <si>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</si>
  <si>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</si>
  <si>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</si>
  <si>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</si>
  <si>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</si>
  <si>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</si>
  <si>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</si>
  <si>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</si>
  <si>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</si>
  <si>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</si>
  <si>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</si>
  <si>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Share any details that would help data privacy analysts assess your solution.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</si>
  <si>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</si>
  <si>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</si>
  <si>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</si>
  <si>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</si>
  <si>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</si>
  <si>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Looking for incident response procedure for shutting down and re-enabling model features due to a security event. Please provide the amount of time it would take to disable your solution's AI feature(s).</t>
  </si>
  <si>
    <t>Looking for incident response procedure for shutting down and re-enabling model features due to a security event. Please provide the amount of time it would take to renable your solution's AI feature(s).</t>
  </si>
  <si>
    <t>If sensitive data is introduced to your solution's AI model, can the data be removed from the AI model by request?*</t>
  </si>
  <si>
    <t>Looking for the ability to scrub sensitive insitutional data from your solution's AI model.</t>
  </si>
  <si>
    <t>Is user input data used to influence your solution's AI model?*</t>
  </si>
  <si>
    <t>Looking for protection of organizational data entered as inputs in a solution's AI feature(s).</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</si>
  <si>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</si>
  <si>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</si>
  <si>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</si>
  <si>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</si>
  <si>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</si>
  <si>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</si>
  <si>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</si>
  <si>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</si>
  <si>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</si>
  <si>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</si>
  <si>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</si>
  <si>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</si>
  <si>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</si>
  <si>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</si>
  <si>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</si>
  <si>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Have you performed a Data Privacy Impact Assesssment for the solution/project?</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</si>
  <si>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</si>
  <si>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</si>
  <si>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</si>
  <si>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</si>
  <si>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</si>
  <si>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</si>
  <si>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</si>
  <si>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</si>
  <si>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</si>
  <si>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</si>
  <si>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</si>
  <si>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</si>
  <si>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</si>
  <si>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</si>
  <si>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</si>
  <si>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</si>
  <si>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</si>
  <si>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</si>
  <si>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</si>
  <si>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</si>
  <si>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</si>
  <si>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</si>
  <si>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</si>
  <si>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</si>
  <si>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</si>
  <si>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</si>
  <si>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</si>
  <si>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</si>
  <si>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</si>
  <si>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</si>
  <si>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</si>
  <si>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</si>
  <si>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</si>
  <si>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</si>
  <si>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</si>
  <si>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</si>
  <si>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</si>
  <si>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</si>
  <si>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</si>
  <si>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</si>
  <si>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</si>
  <si>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</si>
  <si>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</si>
  <si>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</si>
  <si>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</si>
  <si>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</si>
  <si>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</si>
  <si>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</si>
  <si>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</si>
  <si>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</si>
  <si>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</si>
  <si>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</si>
  <si>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</si>
  <si>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</si>
  <si>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</si>
  <si>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</si>
  <si>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</si>
  <si>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</si>
  <si>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</si>
  <si>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</si>
  <si>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</si>
  <si>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</si>
  <si>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</si>
  <si>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</si>
  <si>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</si>
  <si>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</si>
  <si>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</si>
  <si>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</si>
  <si>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</si>
  <si>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</si>
  <si>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</si>
  <si>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</si>
  <si>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</si>
  <si>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</si>
  <si>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</si>
  <si>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</si>
  <si>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</si>
  <si>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</si>
  <si>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</si>
  <si>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</si>
  <si>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</si>
  <si>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</si>
  <si>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</si>
  <si>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</si>
  <si>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</si>
  <si>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</si>
  <si>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</si>
  <si>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</si>
  <si>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</si>
  <si>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</si>
  <si>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</si>
  <si>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</si>
  <si>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</si>
  <si>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</si>
  <si>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</si>
  <si>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</si>
  <si>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</si>
  <si>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</si>
  <si>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</si>
  <si>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</si>
  <si>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</si>
  <si>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</si>
  <si>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</si>
  <si>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</si>
  <si>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</si>
  <si>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</si>
  <si>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</si>
  <si>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</si>
  <si>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</si>
  <si>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</si>
  <si>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</si>
  <si>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</si>
  <si>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</si>
  <si>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</si>
  <si>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</si>
  <si>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</si>
  <si>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</si>
  <si>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</si>
  <si>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</si>
  <si>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</si>
  <si>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</si>
  <si>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</si>
  <si>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</si>
  <si>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</si>
  <si>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</si>
  <si>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</si>
  <si>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</si>
  <si>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</si>
  <si>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</si>
  <si>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</si>
  <si>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</si>
  <si>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</si>
  <si>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</si>
  <si>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</si>
  <si>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</si>
  <si>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</si>
  <si>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</si>
  <si>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</si>
  <si>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</si>
  <si>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</si>
  <si>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</si>
  <si>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</si>
  <si>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</si>
  <si>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</si>
  <si>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</si>
  <si>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</si>
  <si>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</si>
  <si>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</si>
  <si>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</si>
  <si>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</si>
  <si>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</si>
  <si>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</si>
  <si>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</si>
  <si>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</si>
  <si>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</si>
  <si>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</si>
  <si>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</si>
  <si>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</si>
  <si>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</si>
  <si>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</si>
  <si>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</si>
  <si>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</si>
  <si>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</si>
  <si>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</si>
  <si>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</si>
  <si>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</si>
  <si>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</si>
  <si>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</si>
  <si>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</si>
  <si>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</si>
  <si>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</si>
  <si>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</si>
  <si>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</si>
  <si>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</si>
  <si>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</si>
  <si>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</si>
  <si>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</si>
  <si>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</si>
  <si>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</si>
  <si>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</si>
  <si>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</si>
  <si>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</si>
  <si>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</si>
  <si>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</si>
  <si>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</si>
  <si>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</si>
  <si>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</si>
  <si>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</si>
  <si>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</si>
  <si>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</si>
  <si>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</si>
  <si>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</si>
  <si>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</si>
  <si>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</si>
  <si>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</si>
  <si>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</si>
  <si>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</si>
  <si>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</si>
  <si>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</si>
  <si>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</si>
  <si>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</si>
  <si>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</si>
  <si>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</si>
  <si>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</si>
  <si>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</si>
  <si>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</si>
  <si>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</si>
  <si>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</si>
  <si>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</si>
  <si>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</si>
  <si>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</si>
  <si>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</si>
  <si>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</si>
  <si>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</si>
  <si>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</si>
  <si>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</si>
  <si>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</si>
  <si>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</si>
  <si>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</si>
  <si>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</si>
  <si>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</si>
  <si>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</si>
  <si>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</si>
  <si>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</si>
  <si>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 xml:space="preserve">SOC 2 Type 2 audits can be conducted for any or all of five trust principles (confidentiality, integrity, availability, security, and privacy). Answer "yes" if your audit included the privacy principle. </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</si>
  <si>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</si>
  <si>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</si>
  <si>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</si>
  <si>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</si>
  <si>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</si>
  <si>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Looking for how the solution is checked for input anomalies, patterns, and malicious input rejection.</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</si>
  <si>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</si>
  <si>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</si>
  <si>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</si>
  <si>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</si>
  <si>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Based on the response to AAAI-01, this question does not apply to this product or service.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</si>
  <si>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</si>
  <si>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</si>
  <si>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</si>
  <si>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</si>
  <si>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To be added in a later version</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</si>
  <si>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</si>
  <si>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</si>
  <si>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</si>
  <si>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</si>
  <si>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</si>
  <si>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</si>
  <si>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</si>
  <si>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</si>
  <si>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</si>
  <si>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</si>
  <si>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 xml:space="preserve">This worksheet is a combination of cells that are autopopulated as well as ones to be filled in.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</si>
  <si>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</si>
  <si>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</si>
  <si>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</si>
  <si>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</si>
  <si>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</si>
  <si>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</si>
  <si>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</si>
  <si>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</si>
  <si>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</si>
  <si>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</si>
  <si>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</si>
  <si>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</si>
  <si>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</si>
  <si>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</si>
  <si>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</si>
  <si>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</si>
  <si>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</si>
  <si>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capture or create genetic, biometric, or behaviometric information (e.g.,  facial recognition or fingerprints)?*</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</si>
  <si>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</si>
  <si>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</si>
  <si>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</si>
  <si>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</si>
  <si>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</si>
  <si>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</si>
  <si>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</si>
  <si>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</si>
  <si>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</si>
  <si>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</si>
  <si>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</si>
  <si>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</si>
  <si>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</si>
  <si>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</si>
  <si>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</si>
  <si>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</si>
  <si>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</si>
  <si>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</si>
  <si>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</si>
  <si>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</si>
  <si>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</si>
  <si>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</si>
  <si>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Based on the response to AIQU-01 on the "START HERE" tab, this question does not apply to this product or service.</t>
  </si>
  <si>
    <t>Based on the response to AIQU-02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</si>
  <si>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</si>
  <si>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</si>
  <si>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</si>
  <si>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</si>
  <si>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</si>
  <si>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</si>
  <si>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</si>
  <si>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</si>
  <si>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</si>
  <si>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</si>
  <si>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</si>
  <si>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</si>
  <si>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</si>
  <si>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</si>
  <si>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</si>
  <si>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</si>
  <si>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</si>
  <si>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</si>
  <si>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</si>
  <si>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</si>
  <si>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</si>
  <si>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</si>
  <si>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</si>
  <si>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</si>
  <si>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</si>
  <si>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Are you offering either a product or platform, as opposed to only offering a service</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</si>
  <si>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</si>
  <si>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</si>
  <si>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</si>
  <si>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</si>
  <si>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</si>
  <si>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</si>
  <si>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</si>
  <si>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</si>
  <si>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</si>
  <si>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</si>
  <si>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Version 4.1.0</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</si>
  <si>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</si>
  <si>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</si>
  <si>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</si>
  <si>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</si>
  <si>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</si>
  <si>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</si>
  <si>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</si>
  <si>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</si>
  <si>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</si>
  <si>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</si>
  <si>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</si>
  <si>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</si>
  <si>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</si>
  <si>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N/A is only an acceptable answer if you answered "no" to ALL of the following 7 questions: PRGN-01, 02, 03, 04 and PDAT-01, 02, 03</t>
  </si>
  <si>
    <t>N/A is only an acceptable answer if you answered "no" to ALL of the following 7 questions: PRGN-01, 02, 03, 04 and PDAT-01, 02, 04</t>
  </si>
  <si>
    <t>N/A is only an acceptable answer if you answered "no" to ALL of the following 7 questions: PRGN-01, 02, 03, 04 and PDAT-01, 02, 05</t>
  </si>
  <si>
    <t>N/A is only an acceptable answer if you answered "no" to ALL of the following 7 questions: PRGN-01, 02, 03, 04 and PDAT-01, 02, 06</t>
  </si>
  <si>
    <t>N/A is only an acceptable answer if you answered "no" to ALL of the following 7 questions: PRGN-01, 02, 03, 04 and PDAT-01, 02, 07</t>
  </si>
  <si>
    <t>N/A is only an acceptable answer if you answered "no" to ALL of the following 7 questions: PRGN-01, 02, 03, 04 and PDAT-01, 02, 08</t>
  </si>
  <si>
    <t>N/A is only an acceptable answer if you answered "no" to ALL of the following 7 questions: PRGN-01, 02, 03, 04 and PDAT-01, 02, 09</t>
  </si>
  <si>
    <t>N/A is only an acceptable answer if you answered "no" to ALL of the following 7 questions: PRGN-01, 02, 03, 04 and PDAT-01, 02, 10</t>
  </si>
  <si>
    <t>N/A is only an acceptable answer if you answered "no" to ALL of the following 7 questions: PRGN-01, 02, 03, 04 and PDAT-01, 02, 11</t>
  </si>
  <si>
    <t>N/A is only an acceptable answer if you answered "no" to ALL of the following 7 questions: PRGN-01, 02, 03, 04 and PDAT-01, 02, 12</t>
  </si>
  <si>
    <t>N/A is only an acceptable answer if you answered "no" to ALL of the following 7 questions: PRGN-01, 02, 03, 04 and PDAT-01, 02, 13</t>
  </si>
  <si>
    <t>N/A is only an acceptable answer if you answered "no" to ALL of the following 7 questions: PRGN-01, 02, 03, 04 and PDAT-01, 02, 14</t>
  </si>
  <si>
    <t>America's Software Corporation</t>
  </si>
  <si>
    <t>Connie Harper</t>
  </si>
  <si>
    <t>President</t>
  </si>
  <si>
    <t>taleval@icloud.com</t>
  </si>
  <si>
    <t>800-467-1170</t>
  </si>
  <si>
    <t>USA</t>
  </si>
  <si>
    <t>SOUTH CAROLINA</t>
  </si>
  <si>
    <t>yes</t>
  </si>
  <si>
    <t>Design and provide higher education software since 1996 in U.S.A</t>
  </si>
  <si>
    <t>no</t>
  </si>
  <si>
    <t>southeast</t>
  </si>
  <si>
    <t>done automatically by Liquid Web and Immuniweb</t>
  </si>
  <si>
    <r>
      <t>Reporting of Suspected and Actual Breaches. America’s Software Corporation will notify Customer by telephone and email.</t>
    </r>
    <r>
      <rPr>
        <sz val="11"/>
        <color indexed="8"/>
        <rFont val="Times New Roman"/>
        <family val="1"/>
      </rPr>
      <t xml:space="preserve"> </t>
    </r>
    <r>
      <rPr>
        <sz val="10"/>
        <color indexed="8"/>
        <rFont val="Times New Roman"/>
        <family val="1"/>
      </rPr>
      <t>In no event shall the report be made more than two (2) business days after a breach has occurred. Any breach may be grounds for immediate termination of this Agreement by the Customer. America’s Software Corporation will be responsible for the cost of the breach if breach is due to negligence by us or our employees.</t>
    </r>
  </si>
  <si>
    <t>1,000 cybersecurity insurance and 1,000 general liability isurance</t>
  </si>
  <si>
    <t>after 5 attempts lock out for 24 hours</t>
  </si>
  <si>
    <t>90 days</t>
  </si>
  <si>
    <t>deleted after 90 days</t>
  </si>
  <si>
    <t>email and upon login to the software</t>
  </si>
  <si>
    <t>website terms and license agreement</t>
  </si>
  <si>
    <t>separate tables in SQL</t>
  </si>
  <si>
    <t>https://taleval.com/SiteDocs/TalEvalRazor_Website_Terms.pdf</t>
  </si>
  <si>
    <t>small business.  3 full time employees, 2 contractors.  Don't need it</t>
  </si>
  <si>
    <t>System updates do not affect customer data or configuration settings. Client-level settings and data remain intact from one release to the next.”</t>
  </si>
  <si>
    <t>Programmer will use school id to direct them to older version until they are ready.</t>
  </si>
  <si>
    <t>As a web-based solution, all customers use the current production version hosted by America’s Software Corporation. Only one live version is supported at a time. Customers automatically receive all updates as part of the hosted service.</t>
  </si>
  <si>
    <t>WORD document with proposed dates on releases</t>
  </si>
  <si>
    <t>Rewrite Discovery Pro from the ground up on modern web frameworks. Improve performance, security and reliability.Streamline user interface for easier navigation. Ensure strong accessibility compliance (WCAG 2.1).  Collect customer feedback and release incremental feature updates quarterly.</t>
  </si>
  <si>
    <t>after midnight eastern time</t>
  </si>
  <si>
    <t>Emergency changes are rare but, when required, they are documented by the system administrator (date, description, reason). As the sole administrator, approval is inherently centralized. Hosting provider Liquid Web LLC manages infrastructure-level emergency changes under SOC-audited processes</t>
  </si>
  <si>
    <t xml:space="preserve">Handled by hosting provider (Liquid Web LLC, </t>
  </si>
  <si>
    <t xml:space="preserve">America’s Software Corporation is committed to protecting customer and institutional data through appropriate security, privacy, and compliance measures. This Information Security Policy consolidates our security, privacy, and operational policies as outlined in our Terms and Conditions and Privacy Statement. 1. Data Ownership &amp; Privacy Customers retain ownership of their data. America’s Software Corporation will not license, disclose, sell, or share information gathered through Taleval.com or OnlineDiscoveryPro.com except by court order. No data is shared with third parties. </t>
  </si>
  <si>
    <t>Please see privacy terms and conditions attached.</t>
  </si>
  <si>
    <t>America’s Software Corporation does not directly procure or manage server or network hardware. All infrastructure is provided by our hosting provider, Liquid Web LLC, which maintains SOC-audited supply chain controls for telecommunications equipment, computing devices, and data center hardware. These controls are covered under Liquid Web’s compliance certifications</t>
  </si>
  <si>
    <t>Policies governing data handling, breach notification, and access are documented and followed by the system owner/operator and contracto</t>
  </si>
  <si>
    <t>Institutional data is not stored on devices with publicly routable IP addresses. Database and storage systems are isolated within the hosting provider’s environment and protected by firewalls. Public IPs are limited to application/web servers only. </t>
  </si>
  <si>
    <t>All sensitive data in transit between client systems and application servers is encrypted using TLS/SSL (HTTPS). Hosting provider Liquid Web LLC enforces industry-standard security protocols for system-to-client communications.</t>
  </si>
  <si>
    <t>Acting President is appointed through corporate resolution with explicit instructions.</t>
  </si>
  <si>
    <t>institutional data backups are retained within the hosting provider’s U.S. data centers. Data is not moved outside the U.S. or routed to other regions.</t>
  </si>
  <si>
    <t>Operating system software, utilities, and security software are included under the hosting provider’s managed backup and recovery processes.</t>
  </si>
  <si>
    <t>All credentials are stored securely and managed according to hosting provider</t>
  </si>
  <si>
    <t>SQL injection, XSS, XSRF</t>
  </si>
  <si>
    <t>Backups are made according to predefined schedules: daily backups rotated every 7 days, weekly backups retained for 8 weeks, and monthly backups retained for 3 months. All backups are encrypted, access-controlled, and securely stored</t>
  </si>
  <si>
    <r>
      <t>Outsourced vendor selection + reliance on SOC audits and certifications</t>
    </r>
    <r>
      <rPr>
        <sz val="14"/>
        <color rgb="FF000000"/>
        <rFont val="-webkit-standard"/>
      </rPr>
      <t>.</t>
    </r>
  </si>
  <si>
    <t>America’s Software Corporation provides at least 60 days’ notice prior to such changes. Routine software updates and enhancements are applied without impacting security or institutional data</t>
  </si>
  <si>
    <t>Liquid Web provisions systems using pre-hardened server images and enforces baseline security controls, including firewalls, intrusion prevention, patch management, and malware protection. These services ensure secure configurations at deployment and throughout system lifecycle</t>
  </si>
  <si>
    <t>Yes, with prior coordination. America’s Software Corporation allows institutions to conduct vulnerability testing and/or scanning of its applications at a mutually agreed upon time and date, provided testing does not impact service availability. Any such testing must be coordinated in advance to ensure compliance with hosting provider Liquid Web LLC’s SOC-audited security policies</t>
  </si>
  <si>
    <t>Threat Detector</t>
  </si>
  <si>
    <t>America’s Software Corporation designates Connie Harper, Owner and System Administrator, as the sole authority to request and approve firewall changes. Liquid Web implements changes under documented SOC-audited change management procedures</t>
  </si>
  <si>
    <r>
      <t>America’s Software Corporation (ASC)</t>
    </r>
    <r>
      <rPr>
        <sz val="12"/>
        <color rgb="FF000000"/>
        <rFont val="Verdana"/>
        <family val="2"/>
      </rPr>
      <t> is a small U.S.-based business that develops and supports two cloud-hosted software solutions for higher education programs: </t>
    </r>
    <r>
      <rPr>
        <b/>
        <sz val="12"/>
        <color rgb="FF000000"/>
        <rFont val="Verdana"/>
        <family val="2"/>
      </rPr>
      <t>TalEval</t>
    </r>
    <r>
      <rPr>
        <sz val="12"/>
        <color rgb="FF000000"/>
        <rFont val="Verdana"/>
        <family val="2"/>
      </rPr>
      <t> (Dental Hygiene) and </t>
    </r>
    <r>
      <rPr>
        <b/>
        <sz val="12"/>
        <color rgb="FF000000"/>
        <rFont val="Verdana"/>
        <family val="2"/>
      </rPr>
      <t>Discovery Pro</t>
    </r>
    <r>
      <rPr>
        <sz val="12"/>
        <color rgb="FF000000"/>
        <rFont val="Verdana"/>
        <family val="2"/>
      </rPr>
      <t> (Cosmetology). ASC has no in-house data center or IT staff. Instead, ASC leases a dedicated, fully managed server environment from Liquid Web LLC, a SOC-audited hosting provider. The software is typically used by fewer than 50 users within a single department (Dental Hygiene or Cosmetology). It is not a campus-wide system.</t>
    </r>
  </si>
  <si>
    <t>America’s Software Corporation provides web-based software products (TalEval and Discovery Pro) that institutions license and access via login. These are cloud-hosted applications, not a service-only offering</t>
  </si>
  <si>
    <t>As a small business with no in-house IT staff, ASC does not plan to create a dedicated information security office. Instead, security responsibilities are centralized to the founder/administrator role, with infrastructure, network, and hosting security managed by Liquid Web LLC</t>
  </si>
  <si>
    <t>TalEval stores limited personal information (student first/last name, program entry and graduation dates) required for academic evaluation. The solution does not store Social Security numbers, financial data, medical histories, or other high-risk sensitive data. The application does not interface with other institutional systems, and all data remains contained within TalEval.</t>
  </si>
  <si>
    <t>We follow a documented systems development life cycle (SDLC) including requirements gathering, design, development, testing, deployment, and ongoing maintenance. Code changes are tested prior to release, and updates do not affect customer data or configurations</t>
  </si>
  <si>
    <t>Security is incorporated into the product lifecycle from design through release. ASC applies secure coding practices, encrypts data in transit and at rest, and uses automated vulnerability scanning (ImmuniWeb) before new releases. Authentication and access controls are designed into the system rather than added afterward.</t>
  </si>
  <si>
    <t>Liquid Web LLC provides physical safety for their datacenter including employee badges and video cameras. See website terms/conditions</t>
  </si>
  <si>
    <t>ASC applications require passwords to be alphanumeric with a minimum character length. Institutions may also configure stricter complexity rules (e.g., requiring symbols or longer passphrases) through the administrator settings if their policies demand it. This allows local enforcement of institution-specific password requirements</t>
  </si>
  <si>
    <t>Password reset requests are supported through customer support and, where available, through built-in system reset functionality. America’s Software Corporation follows documented procedures to verify account ownership before issuing a reset, ensuring account security.</t>
  </si>
  <si>
    <t>Application logs (login attempts, failed logins, account/session activity) are retained within TalEval and Discovery Pro in line with institutional usage. </t>
  </si>
  <si>
    <t>ASC performs daily, weekly, and monthly backups. Backups are digitally stored off-site from the primary environment. Liquid Web LLC, the hosting provider, also performs managed backups of the dedicated server to separate storage systems. This ensures data is protected both by ASC’s off-site backup process and Liquid Web’s managed infrastructure backups</t>
  </si>
  <si>
    <t>Institutions can export full or partial data sets using built-in export features (Excel and PDF). Database backups are not provided directly, as they require the proprietary application to interpret.</t>
  </si>
  <si>
    <t>Backups of institutional data in TalEval and Discovery Pro are encrypted—since data is encrypted at rest and in transit, backed-up versions remain protected. Liquid Web LLC, the hosting provider, also performs server-level backups; while encryption is optional by default, they offer encrypted backup options (e.g., AES-based encryption in Acronis Cyber Backups) which can be activated depending on customer needs. In HIPAA hosting plans, backups are encrypted both in transit and at rest</t>
  </si>
  <si>
    <r>
      <t>ASC doesn't run its own </t>
    </r>
    <r>
      <rPr>
        <sz val="12"/>
        <color rgb="FF000000"/>
        <rFont val="Verdana"/>
        <family val="2"/>
      </rPr>
      <t>hardware data center</t>
    </r>
    <r>
      <rPr>
        <sz val="14"/>
        <color rgb="FF000000"/>
        <rFont val="-webkit-standard"/>
      </rPr>
      <t>.  When data is deleted, it stays deleted, and no sensitive media is repurposed without sanitization.</t>
    </r>
  </si>
  <si>
    <t>Liquid Web follows industry-standard sanitization procedures that align with NIST SP 800-88 guidelines for secure media disposal and repurposing. At the application level, ASC enforces documented data retention and deletion policies to ensure institutional data is securely removed from backups after the retention period</t>
  </si>
  <si>
    <t>ASC’s dedicated server environment runs on a Microsoft Windows Server operating system that is fully supported by Microsoft and receives regular security updates. Application software and libraries used by TalEval and Discovery Pro are also maintained on currently supported versions to ensure continued security patching and vendor support</t>
  </si>
  <si>
    <r>
      <t>TalEval and Discovery Pro enforce separation of duties through role-based access control. The software provides three distinct user roles: </t>
    </r>
    <r>
      <rPr>
        <b/>
        <sz val="12"/>
        <color rgb="FF000000"/>
        <rFont val="Verdana"/>
        <family val="2"/>
      </rPr>
      <t>Administrator</t>
    </r>
    <r>
      <rPr>
        <sz val="14"/>
        <color rgb="FF000000"/>
        <rFont val="-webkit-standard"/>
      </rPr>
      <t> (system configuration, account/security management), </t>
    </r>
    <r>
      <rPr>
        <b/>
        <sz val="12"/>
        <color rgb="FF000000"/>
        <rFont val="Verdana"/>
        <family val="2"/>
      </rPr>
      <t>Instructor</t>
    </r>
    <r>
      <rPr>
        <sz val="14"/>
        <color rgb="FF000000"/>
        <rFont val="-webkit-standard"/>
      </rPr>
      <t> (grading and evaluation functions), and </t>
    </r>
    <r>
      <rPr>
        <b/>
        <sz val="12"/>
        <color rgb="FF000000"/>
        <rFont val="Verdana"/>
        <family val="2"/>
      </rPr>
      <t>Student</t>
    </r>
    <r>
      <rPr>
        <sz val="14"/>
        <color rgb="FF000000"/>
        <rFont val="-webkit-standard"/>
      </rPr>
      <t> (coursework and academic records only). Students cannot access instructor or administrator functions, and instructors cannot access administrator-level security settings.</t>
    </r>
  </si>
  <si>
    <t>Administrative access is restricted to the single administrator and all other functions are handled by the hosting provider under their SOC-controlled policies.</t>
  </si>
  <si>
    <t>Software  verifyies data entry and does not allowing the user to save the form until errors are resolved. Error messages used follow best practice.</t>
  </si>
  <si>
    <t>ASC requires all development to follow secure coding practices (e.g., input validation, prevention of SQL injection, use of encryption). While development work is performed by a contracted developer.</t>
  </si>
  <si>
    <t>We implement methods to verify user identity and restrict access to resources based on assigned roles and privileges. Passwords, authentication, encryption.</t>
  </si>
  <si>
    <t>As a small business, ASC centralizes system-level administrator access to the company president. No other employees have access, Administrator rights are tightly controlled.</t>
  </si>
  <si>
    <t>ASC uses a dedicated Windows server leased from Liquid Web LLC. The server hardware is not shared with other customers. Liquid Web manages infrastructure (hardware, networking, data center security), while ASC manages only the application software. This is functionally equivalent to a dedicated hosted environment</t>
  </si>
  <si>
    <t>It is available upon request and I have requested it.</t>
  </si>
  <si>
    <t>Handled by hosting provider (Liquid Web LLC,</t>
  </si>
  <si>
    <t>MFA is not required for all administrative logins by default. ASC applications provide MFA functionality that can be enabled by institutional administrators. Administrators may configure whether MFA is required on every login, daily, weekly, or monthly.</t>
  </si>
  <si>
    <t>Host-based intrusion prevention is implemented on the dedicated Windows server environment hosted by Liquid Web LLC. Protections include Windows Defender Antivirus and Firewall with exploit protection, along with Liquid Web’s Threat Detection services.</t>
  </si>
  <si>
    <t>Third party.  ThreatDown (Malwarebytes EDR) Cybersecurity Monitoring, Threat Stack Oversight (IDS add-on): Behavioral monitoring and real-time alerts on suspicious system behavior.</t>
  </si>
  <si>
    <t>Incident response capability is provided through Liquid Web LLC,  which offers 24 x 7 x 365 monitoring, alerting, and incident response as part of its managed hosting services.</t>
  </si>
  <si>
    <t xml:space="preserve">Incident response capability is provided through Liquid Web LLC. Also ASC Presient will notify users within 2 business days.  </t>
  </si>
  <si>
    <t>connie9030@icloud.com</t>
  </si>
  <si>
    <t>864-814-0323</t>
  </si>
  <si>
    <t>It is attached.</t>
  </si>
  <si>
    <t>because the software is only available from a sole source ASC.  We have not designed a separate app to run on a mobile device.</t>
  </si>
  <si>
    <t>We have a detailed user guide with a table of contents with screenshots.  https://www.americassoftware.com/taleval?pgid=lyje7adk-bfcf2cad-d8c3-4ce9-a803-2e66ff7da335</t>
  </si>
  <si>
    <t>ASC is a small business with a focused user base. While a formal documented verification process is not in place, accessibility is checked during development using automated scans (contrast, font scaling, keyboard navigation) and manual review. Future plans include adopting a lightweight verification procedure for each new release</t>
  </si>
  <si>
    <t>ASC has adopted WCAG 2.1/2.2 and Section 508 as the accessibility standards of conformance. Accessibility features such as color contrast, keyboard navigation, and scalable fonts are tested against these criteria. A VPAT 2.5 Accessibility Conformance Report is provided to document compliance.</t>
  </si>
  <si>
    <t>NO</t>
  </si>
  <si>
    <t>ASC is a small business serving limited departmental use (20–50 users). A formal accessibility roadmap with delivery timelines has not been published. However, accessibility improvements are incorporated as part of ongoing development. For example, ASC has previously enhanced contrast/color schemes, font scalability, and keyboard navigation, and will continue to integrate accessibility best practices during the upcoming full rewrite. Accessibility is a priority in each release cycle.</t>
  </si>
  <si>
    <t>https://www.americassoftware.com/training-videos?pgid=kovk98ip-ed593369-4e02-43c4-b3aa-aa0dba550c57</t>
  </si>
  <si>
    <t>Student first/last name, date of entry, graduation date and program.</t>
  </si>
  <si>
    <t>Software only used by U.S. institutions</t>
  </si>
  <si>
    <t>Never</t>
  </si>
  <si>
    <t>ASC recognizes that the student information processed in TalEval falls under the Family Educational Rights and Privacy Act (FERPA). ASC complies with FERPA by ensuring that:</t>
  </si>
  <si>
    <t>Access is restricted to authorized institutional users, Data is encrypted in transit and at rest,</t>
  </si>
  <si>
    <t>Institutions retain ownership and control of their student data, ASC does not license, disclose, or sell student information except by court order</t>
  </si>
  <si>
    <t>Server is housed by third party datacenter, Liquid Web, LLC.   They have the completed SOC report.</t>
  </si>
  <si>
    <t>Liquid Web LLC in their SOC report</t>
  </si>
  <si>
    <t>There is no formal employee onboarding/offboarding policy in place for this small business.  Contractors engaged for development are expected to follow secure coding practices and do not have direct access to institutional data. Information security and data privacy responsibilities are maintained by the company owner.</t>
  </si>
  <si>
    <t>The only third party with access to institutional data is Liquid Web, a SOC-audited hosting provider that undergoes independent third-party assessments (SOC 2/3) to ensure compliance with industry and regulatory standards</t>
  </si>
  <si>
    <t>terms and condition state all of this</t>
  </si>
  <si>
    <t>none work with AI</t>
  </si>
  <si>
    <t>within 2 business days</t>
  </si>
  <si>
    <t>terms and condition state we will comply under court order</t>
  </si>
  <si>
    <t>Owner</t>
  </si>
  <si>
    <t>Never had a request.  Small business.  Handled by owner</t>
  </si>
  <si>
    <t>While a formal privacy risk mitigation policy is not documented, all risks would be immediately addressed when identified. For example, if a configuration issue is detected, access controls are tightened or data is restricted until a permanent fix is applied. Only the owner has administrative access to institutional data,</t>
  </si>
  <si>
    <t>TalEval is used exclusively by U.S.-based educational institutions and does not process data from EU students; therefore GDPR SCCs are not generally applicable. However, if required by a customer, ASC would review and consider signing appropriate SCCs on a case-by-case basis</t>
  </si>
  <si>
    <t>TalEval is used exclusively by U.S.-based educational institutions and does not collect or process personal information of individuals in China. ASC does not operate in China, and therefore PIPL security, privacy, and data localization requirements are not applicable</t>
  </si>
  <si>
    <t>Liquid Web LLC contract</t>
  </si>
  <si>
    <t>TalEval, Discovery Pro</t>
  </si>
  <si>
    <t>Dental Hygiene/COS Student  Tracking</t>
  </si>
  <si>
    <t>Liquid Web LLC performs continuous infrastructure-level vulnerability monitoring using ThreatStack. In addition, America’s Software Corporation uses ImmuniWeb to regularly scan TalEval and Discovery Pro applications for common web vulnerabilities, leaked/malicious code, and configuration weaknesses. Findings are remediated as needed</t>
  </si>
  <si>
    <t>windows firewall, Immuniweb - ThreatStack</t>
  </si>
  <si>
    <r>
      <t>Handled by hosting provider (Liquid Web LLC, SOC 2 report available)”</t>
    </r>
    <r>
      <rPr>
        <sz val="14"/>
        <color rgb="FF000000"/>
        <rFont val="-webkit-standard"/>
      </rPr>
      <t>.</t>
    </r>
  </si>
  <si>
    <t>2 customer support, 1 programmer, all infrastructure is hosted with Liquid Web LLC, a professional data center provider with SOC 2 certification and audited security controls. This ensures that hosting, network, and hardware security are managed to industry standards</t>
  </si>
  <si>
    <t>Handled by hosting provider (Liquid Web LLC, D30 report available)”.</t>
  </si>
  <si>
    <t>Handled by hosting provider (Liquid Web LLC, SOC 2 report available)”.</t>
  </si>
  <si>
    <t>America’s Software Corporation performs due diligence on its hosting provider, Liquid Web LLC. Security assessments are based on Liquid Web’s SOC 2 report and independent audits, which confirm compliance with security, availability, and confidentiality standards. No other third parties have access to institutional data</t>
  </si>
  <si>
    <t>institutional data is hosted with Liquid Web LLC under a formal service agreement. Liquid Web is SOC 2 certified, and contractual provisions govern access, security, and compliance requirements. No other third parties have access to institutional dat</t>
  </si>
  <si>
    <t>Server configuration management is provided by hosting provider Liquid Web LLC (SOC 2 certified). America’s Software Corporation does not deploy its own server images; secure configurations and system hardening are managed by the hosting provider.</t>
  </si>
  <si>
    <t>Critical system patches are applied by our hosting provider, Liquid Web LLC (SOC 2 certified), as part of managed hosting services. Application patches and updates (TalEval, Discovery Pro) are managed directly by America’s Software Corporation through a controlled development and release process.”</t>
  </si>
  <si>
    <t>Yes. Data in transit is encrypted using TLS/SSL (open standard HTTPS). Data at rest is encrypted using industry-standard methods. Hosting provider Liquid Web LLC (SOC 2 certified) ensures compliance with open encryption standards, including AES and TLS</t>
  </si>
  <si>
    <t>America’s Software Corporation conducts periodic self-audits of access control, data retention, and backup practices. Infrastructure and hosting controls are independently audited through Liquid Web LLC’s SOC 2 report.</t>
  </si>
  <si>
    <t>We log user authentication attempts, failed logins, and account/session events. Hosting provider Liquid Web LLC (SOC 2 certified) maintains infrastructure-level logging of administrative access, firewall events, and intrusion detection. America’s Software Corporation does not operate a separate SIEM but centralized log monitoring is performed by the hosting provider as part of its SOC-audited controls.</t>
  </si>
  <si>
    <t>Institutional data is encrypted at rest using industry-standard protocols. Hosting provider Liquid Web LLC (SOC 2 certified, HIPAA hosting features) implements disk and backup encryption to protect data at rest, in addition to encryption within databases as required</t>
  </si>
  <si>
    <t>America’s Software Corporation relies on hosting provider Liquid Web LLC (SOC 2 certified), which implements industry-standard cryptographic modules that conform to FIPS 140-2/140-3 requirements. Data in transit uses TLS/SSL, and data at rest uses AES-based encryption</t>
  </si>
  <si>
    <t>We do not use physical media for long-term retention. All data is stored within Liquid Web LLC’s SOC 2–audited data centers, which provide secure, environmentally controlled facilities with fire suppression, flood detection, redundant power, and climate protections.</t>
  </si>
  <si>
    <t>Hosting provider Liquid Web LLC (SOC 2 certified) manages infrastructure-level encryption keys for data at rest and backups. These keys are secured under SOC-audited controls.</t>
  </si>
  <si>
    <t>Liquid Web LLC (SOC 2 certified) manages stateful packet inspection (SPI) firewalls as part of its managed hosting services. These firewalls monitor and control network traffic based on state, port, and protocol, ensuring only valid and expected traffic is allowed</t>
  </si>
  <si>
    <t>relies on hosting provider Liquid Web LLC (SOC 2 certified), which has implemented managed intrusion detection and prevention systems (Threat Detector) to monitor network traffic and identify potential malicious activity. Alerts and monitoring are performed as part of Liquid Web’s managed security services.</t>
  </si>
  <si>
    <t>We rely on hosting provider Liquid Web LLC (SOC 2 certified), which employs continuous intrusion detection, intrusion prevention, and ThreatStck Detector monitoring for advanced persistent threats at the infrastructure level. Application-level security is supplemented by regular ImmuniWeb scans</t>
  </si>
  <si>
    <t>We use  ImmuniWeb AI-powered security testing, including scans performed with authenticated test accounts. Scans are conducted prior to new releases, and any identified vulnerabilities are remediated before deployment. Hosting provider Liquid Web LLC performs additional infrastructure-level vulnerability monitoring as part of its SOC 2–audited services</t>
  </si>
  <si>
    <t>Infrastructure vulnerability scanning is performed by hosting provider Liquid Web LLC as part of its SOC 2–audited managed services. While raw provider system scan results are not shared directly, institutional assurances are available through SOC reports.</t>
  </si>
  <si>
    <t>Yes. Hosting provider Liquid Web LLC undergoes independent SOC 2 audits annually, covering infrastructure security, availability, and confidentiality controls. In addition, America’s Software Corporation uses ImmuniWeb for third-party vulnerability scanning of its web applications (TalEval and Discovery Pro)</t>
  </si>
  <si>
    <t>America’s Software Corporation is based in South Carolina, USA, and is fully subject to U.S. federal and state laws, including FERPA, HIPAA (as applicable), ADA, Section 508, and state privacy/cybersecurity requirements</t>
  </si>
  <si>
    <t>We have one privileged account, managed directly by the system owner. No other internal staff have access. Hosting provider Liquid Web LLC manages server-level privileged accounts under SOC-audited access review procedure</t>
  </si>
  <si>
    <t>no running log of user keystrokes while in the  software.</t>
  </si>
  <si>
    <t>Do not currently support SAML2, OIDC, or CAS SSO standards Less than 50 users per school.  Authentication is managed through unique username/password logins with strong password enforcement, auto-logoff after inactivity, and account lockouts for repeated failed attempts</t>
  </si>
  <si>
    <t>Programmer  is a contractor and fully trained in secure coding techniques</t>
  </si>
  <si>
    <t>Programmer  is a contractor and fullly gtrained in secure coding techniques</t>
  </si>
  <si>
    <t>ASC relies on a small set of trusted vendors to operate its business, including Liquid Web LLC (SOC-audited hosting provider), Microsoft (Windows Server, Office 365), and ThreatDown (application vulnerability scanning). Vendor security practices are reviewed, and all institutional data remains hosted within Liquid Web’s secure environment.</t>
  </si>
  <si>
    <t>It is attached. June 26, 2026</t>
  </si>
  <si>
    <t>TalEval and Discovery Pro are designed to meet WCAG 2.2 Level AA accessibility guidelines. Fonts, color contrasts, and other interface elements have been reviewed with accessibility testing tools to ensure compliance. America’s Software Corporation also maintains a Voluntary Product Accessibility Template.</t>
  </si>
  <si>
    <t xml:space="preserve">Terms and conditions include email address to report issues. ASC is a small business with a limited user population (20–50 per department). To date, no accessibility issues have been reported. Users report software concerns directly by phone, email, or text, and ASC addresses them immediately in software updates, if the concern is a bug.  </t>
  </si>
  <si>
    <t>Accessible Path Solutions -June 2026</t>
  </si>
  <si>
    <t>ASC does not operate a formal staff training program due to its small business model having one remote  IT contractor, accessibility awareness is maintained directly by the company’s owner and contractors. This ensures that TalEval and Discovery Pro continue to evolve with accessibility best practices in mind, consistent with WCAG and Section 508 requirements.</t>
  </si>
  <si>
    <t>We only have one platform.  Taleval.com.  Taleval went web-based in 2001.  That's 24 years of verification.</t>
  </si>
  <si>
    <t>America's Software Corporation maintains documented privacy practices governing the collection, use, retention, and protection of customer information. These practices are incorporated into our Terms &amp; Conditions and Privacy Policy.</t>
  </si>
  <si>
    <t>Privacy considerations are incorporated throughout product design and development. TalEval collects only the minimum information necessary to provide its services, limits access based on user roles, encrypts data in transit using TLS, and avoids storing unnecessary sensitive information.</t>
  </si>
  <si>
    <t>Yes. We comply with applicable customer privacy and data protection requirements as defined in our agreements and applicable laws.</t>
  </si>
  <si>
    <t>America’s Software Corporation complies with applicable U.S. federal and state privacy laws governing the services we provide.</t>
  </si>
  <si>
    <t>Privacy and security awareness are reviewed annually with all personnel who have access to customer data. Due to the company's small size and stable workforce, training is conducted internally and documented as part of operational procedures.</t>
  </si>
  <si>
    <t>YES</t>
  </si>
  <si>
    <t>Customer-specific configuration settings and customizations are stored separately from application code and are preserved during software upgrades. Product updates do not overwrite customer configuration data.</t>
  </si>
  <si>
    <t>All software changes are reviewed, tested in a development environment, and verified before deployment. Releases are designed to preserve customer configuration settings and production data during updates.</t>
  </si>
  <si>
    <t>Third-party libraries and software dependencies are reviewed during development and prior to major releases. Supported versions are maintained, tested for compatibility, and updated as necessary before deployment to production.</t>
  </si>
  <si>
    <t>within 2 days of report of breach.</t>
  </si>
  <si>
    <t>Security awareness is reviewed with all personnel who have access to company systems or customer data. Due to the company's small size, this training is conducted internally rather than through a formal corporate training program.</t>
  </si>
  <si>
    <t>America's Software Corporation is a small business and does not currently conduct formal background screenings as part of its hiring process. Access to company systems and customer data is granted only to trusted, authorized personnel based on job responsibilities.</t>
  </si>
  <si>
    <t>Yes. Personnel with access to company systems or customer information are required to review applicable company policies and confidentiality requirements before access is granted.</t>
  </si>
  <si>
    <t>TalEval and Discovery Pro do not currently support institution-wide SSO. These applications are typically deployed within individual academic departments with relatively small user populations. Strong local authentication controls are provided, including unique user accounts, configurable password policies, automatic session timeouts, and account lockout after repeated failed login attempts. Optional MFA is also available</t>
  </si>
  <si>
    <t>Each account is assigned a unique username and password. Administrators may configure password policies, and optional multi-factor authentication (MFA) is available.</t>
  </si>
  <si>
    <t>Passwords must meet the institution's configured minimum length requirements and include both alphabetic and numeric characters. Additional password restrictions may be configured by administrators</t>
  </si>
  <si>
    <t>America's Software Corporation does not currently participate in InCommon or another eduGAIN-affiliated trust federation. TalEval and Discovery Pro use local authentication and do not currently support federation through InCommon or eduGAIN.</t>
  </si>
  <si>
    <t>No. TalEval and Discovery Pro use built-in local authentication and do not currently integrate with external authentication or authorization systems.</t>
  </si>
  <si>
    <t>Those attribute mappings are typically used with identity federation systems, which ASC doesn't currently support</t>
  </si>
  <si>
    <t>No. User accounts are managed locally within the application and are not synchronized with external directory services.</t>
  </si>
  <si>
    <t>Yes. User identifiers are independent of email addresses. Institutions may assign usernames separately from users' email addresses.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</si>
</sst>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9">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1"/>
      <color rgb="FFFF0000"/>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1"/>
      <color rgb="FF1D1C1D"/>
      <name val="Arial"/>
      <family val="2"/>
    </font>
    <font>
      <i/>
      <sz val="12"/>
      <color rgb="FF000000"/>
      <name val="Verdana"/>
      <family val="2"/>
    </font>
    <font>
      <sz val="14"/>
      <color rgb="FF000000"/>
      <name val="-webkit-standard"/>
    </font>
    <font>
      <sz val="11"/>
      <color rgb="FF001D35"/>
      <name val="Verdana"/>
      <family val="2"/>
    </font>
    <font>
      <sz val="10"/>
      <color indexed="8"/>
      <name val="Times New Roman"/>
      <family val="1"/>
    </font>
    <font>
      <sz val="11"/>
      <color indexed="8"/>
      <name val="Times New Roman"/>
      <family val="1"/>
    </font>
    <font>
      <sz val="12"/>
      <color rgb="FF000000"/>
      <name val="Verdana"/>
      <family val="2"/>
    </font>
    <font>
      <sz val="10"/>
      <color indexed="8"/>
      <name val="Helvetica"/>
      <family val="2"/>
    </font>
    <font>
      <sz val="11"/>
      <color indexed="8"/>
      <name val="Cambria"/>
      <family val="1"/>
    </font>
  </fonts>
  <fills count="2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s>
  <borders count="6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6" fillId="0" borderId="0" applyNumberFormat="0" applyFill="0" applyBorder="0" applyAlignment="0" applyProtection="0">
      <alignment vertical="top" wrapText="1"/>
    </xf>
    <xf numFmtId="0" fontId="23" fillId="0" borderId="0" applyNumberFormat="0" applyFill="0" applyBorder="0" applyProtection="0">
      <alignment vertical="top" wrapText="1"/>
    </xf>
  </cellStyleXfs>
  <cellXfs count="375">
    <xf numFmtId="0" fontId="0" fillId="0" borderId="0" xfId="0">
      <alignment vertical="top" wrapText="1"/>
    </xf>
    <xf numFmtId="0" fontId="4" fillId="0" borderId="0" xfId="0" applyNumberFormat="1" applyFont="1" applyAlignment="1"/>
    <xf numFmtId="0" fontId="9" fillId="0" borderId="4" xfId="1" applyFont="1" applyBorder="1" applyAlignment="1">
      <alignment vertical="top" wrapText="1"/>
    </xf>
    <xf numFmtId="0" fontId="9" fillId="5" borderId="4" xfId="1" applyFont="1" applyFill="1" applyBorder="1" applyAlignment="1">
      <alignment vertical="top" wrapText="1"/>
    </xf>
    <xf numFmtId="0" fontId="9" fillId="6" borderId="4" xfId="1" applyFont="1" applyFill="1" applyBorder="1" applyAlignment="1">
      <alignment vertical="top" wrapText="1"/>
    </xf>
    <xf numFmtId="0" fontId="9" fillId="7" borderId="4" xfId="1" applyFont="1" applyFill="1" applyBorder="1" applyAlignment="1">
      <alignment vertical="top" wrapText="1"/>
    </xf>
    <xf numFmtId="0" fontId="9" fillId="8" borderId="4" xfId="1" applyFont="1" applyFill="1" applyBorder="1" applyAlignment="1">
      <alignment vertical="top" wrapText="1"/>
    </xf>
    <xf numFmtId="0" fontId="9" fillId="9" borderId="4" xfId="1" applyFont="1" applyFill="1" applyBorder="1" applyAlignment="1">
      <alignment vertical="top" wrapText="1"/>
    </xf>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6"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6" xfId="0" applyNumberFormat="1" applyFont="1" applyFill="1" applyBorder="1" applyAlignment="1">
      <alignment horizontal="center" vertical="center" wrapText="1"/>
    </xf>
    <xf numFmtId="1" fontId="19" fillId="3" borderId="6" xfId="0" applyNumberFormat="1" applyFont="1" applyFill="1" applyBorder="1" applyAlignment="1">
      <alignment horizontal="left" vertical="center" wrapText="1"/>
    </xf>
    <xf numFmtId="1" fontId="20" fillId="3" borderId="6"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8"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1" fontId="22" fillId="2" borderId="8" xfId="0" applyNumberFormat="1" applyFont="1" applyFill="1" applyBorder="1" applyAlignment="1">
      <alignment vertical="center" wrapText="1"/>
    </xf>
    <xf numFmtId="0" fontId="19" fillId="3" borderId="2" xfId="0" applyNumberFormat="1" applyFont="1" applyFill="1" applyBorder="1" applyAlignment="1">
      <alignment vertical="center"/>
    </xf>
    <xf numFmtId="0" fontId="23"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0" xfId="0" applyFont="1" applyAlignment="1">
      <alignment horizontal="center" vertical="center" wrapText="1"/>
    </xf>
    <xf numFmtId="0" fontId="23" fillId="0" borderId="15" xfId="0" applyFont="1" applyBorder="1" applyAlignment="1">
      <alignment horizontal="center" vertical="center" wrapText="1"/>
    </xf>
    <xf numFmtId="0" fontId="19" fillId="3" borderId="6" xfId="0" applyNumberFormat="1" applyFont="1" applyFill="1" applyBorder="1" applyAlignment="1">
      <alignment horizontal="center" vertical="center"/>
    </xf>
    <xf numFmtId="0" fontId="21" fillId="0" borderId="5" xfId="0" applyNumberFormat="1" applyFont="1" applyFill="1" applyBorder="1" applyAlignment="1">
      <alignment vertical="center" wrapText="1"/>
    </xf>
    <xf numFmtId="0" fontId="21" fillId="0" borderId="5" xfId="0" applyNumberFormat="1" applyFont="1" applyFill="1" applyBorder="1" applyAlignment="1">
      <alignment vertical="center"/>
    </xf>
    <xf numFmtId="0" fontId="23" fillId="0" borderId="3" xfId="0" applyFont="1" applyBorder="1" applyAlignment="1">
      <alignment vertical="center" wrapText="1"/>
    </xf>
    <xf numFmtId="0" fontId="29" fillId="0" borderId="0" xfId="0" applyNumberFormat="1" applyFont="1" applyAlignment="1"/>
    <xf numFmtId="164" fontId="18" fillId="10" borderId="5"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9"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4"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3"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3" fillId="0" borderId="0" xfId="3" applyAlignment="1">
      <alignment horizontal="left" vertical="center" wrapText="1"/>
    </xf>
    <xf numFmtId="0" fontId="23"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9"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3" fillId="0" borderId="16"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9" fillId="0" borderId="1" xfId="0" applyNumberFormat="1" applyFont="1" applyFill="1" applyBorder="1" applyAlignment="1">
      <alignment horizontal="left" vertical="center"/>
    </xf>
    <xf numFmtId="0" fontId="17" fillId="2" borderId="5"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5" xfId="0" applyNumberFormat="1" applyFont="1" applyFill="1" applyBorder="1" applyAlignment="1">
      <alignment horizontal="left" vertical="center" wrapText="1"/>
    </xf>
    <xf numFmtId="9" fontId="6" fillId="2" borderId="29" xfId="3" applyNumberFormat="1" applyFont="1" applyFill="1" applyBorder="1" applyAlignment="1">
      <alignment horizontal="center" vertical="center" wrapText="1"/>
    </xf>
    <xf numFmtId="0" fontId="6" fillId="2" borderId="32" xfId="3" applyFont="1" applyFill="1" applyBorder="1" applyAlignment="1">
      <alignment horizontal="center" vertical="center" wrapText="1"/>
    </xf>
    <xf numFmtId="0" fontId="6" fillId="2" borderId="33" xfId="3" applyFont="1" applyFill="1" applyBorder="1" applyAlignment="1">
      <alignment horizontal="center" vertical="center" wrapText="1"/>
    </xf>
    <xf numFmtId="0" fontId="23" fillId="0" borderId="0" xfId="3" applyAlignment="1">
      <alignment vertical="center" wrapText="1"/>
    </xf>
    <xf numFmtId="0" fontId="7" fillId="0" borderId="34" xfId="3" applyFont="1" applyBorder="1" applyAlignment="1">
      <alignment vertical="center"/>
    </xf>
    <xf numFmtId="0" fontId="6" fillId="2" borderId="29" xfId="3" applyFont="1" applyFill="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5" fillId="0" borderId="0" xfId="1" applyFont="1"/>
    <xf numFmtId="0" fontId="36" fillId="0" borderId="0" xfId="1" applyFont="1"/>
    <xf numFmtId="0" fontId="36"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5"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10"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8" fillId="13" borderId="0" xfId="1" applyFont="1" applyFill="1" applyAlignment="1">
      <alignment horizontal="center" vertical="center" wrapText="1"/>
    </xf>
    <xf numFmtId="0" fontId="28" fillId="14" borderId="0" xfId="1" applyFont="1" applyFill="1" applyAlignment="1">
      <alignment horizontal="center" vertical="center" wrapText="1"/>
    </xf>
    <xf numFmtId="0" fontId="9" fillId="14" borderId="0" xfId="1" applyFont="1" applyFill="1" applyAlignment="1">
      <alignment horizontal="center" vertical="center" wrapText="1"/>
    </xf>
    <xf numFmtId="0" fontId="37" fillId="0" borderId="0" xfId="0" applyFont="1" applyBorder="1">
      <alignment vertical="top" wrapText="1"/>
    </xf>
    <xf numFmtId="0" fontId="28" fillId="12" borderId="0" xfId="1" applyFont="1" applyFill="1" applyAlignment="1">
      <alignment horizontal="center" vertical="center" wrapText="1"/>
    </xf>
    <xf numFmtId="0" fontId="6" fillId="2" borderId="31" xfId="3" applyFont="1" applyFill="1" applyBorder="1" applyAlignment="1">
      <alignment horizontal="center" vertical="center" wrapText="1"/>
    </xf>
    <xf numFmtId="0" fontId="6" fillId="2" borderId="30" xfId="3" applyFont="1" applyFill="1" applyBorder="1" applyAlignment="1">
      <alignment horizontal="center" vertical="center" wrapText="1"/>
    </xf>
    <xf numFmtId="3" fontId="7" fillId="0" borderId="6" xfId="3" applyNumberFormat="1" applyFont="1" applyBorder="1" applyAlignment="1">
      <alignment horizontal="center" vertical="center" wrapText="1"/>
    </xf>
    <xf numFmtId="3" fontId="6" fillId="2" borderId="32" xfId="3" applyNumberFormat="1" applyFont="1" applyFill="1" applyBorder="1" applyAlignment="1">
      <alignment horizontal="center" vertical="center" wrapText="1"/>
    </xf>
    <xf numFmtId="0" fontId="6" fillId="10" borderId="33" xfId="3" applyFont="1" applyFill="1" applyBorder="1" applyAlignment="1">
      <alignment horizontal="left" vertical="center" wrapText="1"/>
    </xf>
    <xf numFmtId="0" fontId="6" fillId="10" borderId="30" xfId="3" applyFont="1" applyFill="1" applyBorder="1" applyAlignment="1">
      <alignment horizontal="center" vertical="center" wrapText="1"/>
    </xf>
    <xf numFmtId="3" fontId="6" fillId="10" borderId="32" xfId="3" applyNumberFormat="1" applyFont="1" applyFill="1" applyBorder="1" applyAlignment="1">
      <alignment horizontal="center" vertical="center" wrapText="1"/>
    </xf>
    <xf numFmtId="9" fontId="6" fillId="10" borderId="29" xfId="3" applyNumberFormat="1" applyFont="1" applyFill="1" applyBorder="1" applyAlignment="1">
      <alignment horizontal="center" vertical="center" wrapText="1"/>
    </xf>
    <xf numFmtId="0" fontId="7" fillId="0" borderId="24" xfId="3" applyFont="1" applyBorder="1" applyAlignment="1">
      <alignment vertical="center"/>
      <extLst>
        <ext xmlns:xfpb="http://schemas.microsoft.com/office/spreadsheetml/2022/featurepropertybag" uri="{C7286773-470A-42A8-94C5-96B5CB345126}">
          <xfpb:xfComplement i="0"/>
        </ext>
      </extLst>
    </xf>
    <xf numFmtId="3" fontId="7" fillId="0" borderId="8" xfId="3" applyNumberFormat="1" applyFont="1" applyBorder="1" applyAlignment="1">
      <alignment horizontal="center" vertical="center" wrapText="1"/>
    </xf>
    <xf numFmtId="0" fontId="23" fillId="0" borderId="5" xfId="3" applyBorder="1" applyAlignment="1">
      <alignment vertical="center" wrapText="1"/>
    </xf>
    <xf numFmtId="0" fontId="23" fillId="0" borderId="22" xfId="3" applyBorder="1" applyAlignment="1">
      <alignment vertical="center" wrapText="1"/>
    </xf>
    <xf numFmtId="0" fontId="23" fillId="0" borderId="7" xfId="3" applyBorder="1" applyAlignment="1">
      <alignment vertical="center" wrapText="1"/>
    </xf>
    <xf numFmtId="0" fontId="23" fillId="0" borderId="37" xfId="3" applyBorder="1" applyAlignment="1">
      <alignment vertical="center" wrapText="1"/>
    </xf>
    <xf numFmtId="0" fontId="23" fillId="0" borderId="38" xfId="3" applyBorder="1" applyAlignment="1">
      <alignment vertical="center" wrapText="1"/>
    </xf>
    <xf numFmtId="0" fontId="23" fillId="0" borderId="39" xfId="3" applyBorder="1" applyAlignment="1">
      <alignment vertical="center" wrapText="1"/>
    </xf>
    <xf numFmtId="0" fontId="6" fillId="2" borderId="12"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27" xfId="3" applyFont="1" applyFill="1" applyBorder="1" applyAlignment="1">
      <alignment horizontal="center" vertical="center" wrapText="1"/>
    </xf>
    <xf numFmtId="9" fontId="6" fillId="2" borderId="12" xfId="3" applyNumberFormat="1" applyFont="1" applyFill="1" applyBorder="1" applyAlignment="1">
      <alignment horizontal="center" vertical="center" wrapText="1"/>
    </xf>
    <xf numFmtId="9" fontId="6" fillId="2" borderId="28"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0" fontId="26" fillId="3" borderId="6" xfId="2" applyNumberFormat="1" applyFill="1" applyBorder="1" applyAlignment="1">
      <alignment horizontal="center" vertical="center"/>
    </xf>
    <xf numFmtId="0" fontId="38" fillId="3" borderId="6" xfId="2" applyNumberFormat="1" applyFont="1" applyFill="1" applyBorder="1" applyAlignment="1">
      <alignment horizontal="center" vertical="center"/>
    </xf>
    <xf numFmtId="0" fontId="34"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3" xfId="3" applyFont="1" applyBorder="1" applyAlignment="1">
      <alignment horizontal="left" vertical="center"/>
    </xf>
    <xf numFmtId="0" fontId="4" fillId="0" borderId="44" xfId="3" applyFont="1" applyBorder="1" applyAlignment="1">
      <alignment horizontal="left" vertical="center"/>
    </xf>
    <xf numFmtId="0" fontId="6" fillId="0" borderId="45" xfId="3" applyFont="1" applyBorder="1" applyAlignment="1">
      <alignment vertical="center" wrapText="1"/>
    </xf>
    <xf numFmtId="0" fontId="6" fillId="0" borderId="38" xfId="3" applyFont="1" applyBorder="1" applyAlignment="1">
      <alignment vertical="center" wrapText="1"/>
    </xf>
    <xf numFmtId="0" fontId="4" fillId="0" borderId="48" xfId="3" applyFont="1" applyBorder="1" applyAlignment="1">
      <alignment horizontal="left" vertical="center"/>
    </xf>
    <xf numFmtId="0" fontId="6" fillId="0" borderId="49" xfId="3" applyFont="1" applyBorder="1" applyAlignment="1">
      <alignment vertical="center" wrapText="1"/>
    </xf>
    <xf numFmtId="0" fontId="6" fillId="2" borderId="42" xfId="3" applyFont="1" applyFill="1" applyBorder="1" applyAlignment="1">
      <alignment vertical="center" wrapText="1"/>
    </xf>
    <xf numFmtId="0" fontId="6" fillId="2" borderId="2" xfId="3" applyFont="1" applyFill="1" applyBorder="1" applyAlignment="1">
      <alignment vertical="center" wrapText="1"/>
    </xf>
    <xf numFmtId="0" fontId="6" fillId="2" borderId="47"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6" xfId="3" applyNumberFormat="1" applyFont="1" applyFill="1" applyBorder="1" applyAlignment="1">
      <alignment horizontal="center" vertical="center" wrapText="1"/>
    </xf>
    <xf numFmtId="0" fontId="7" fillId="0" borderId="36" xfId="3" applyFont="1" applyBorder="1" applyAlignment="1">
      <alignment vertical="center"/>
    </xf>
    <xf numFmtId="0" fontId="7" fillId="0" borderId="40" xfId="3" applyFont="1" applyBorder="1" applyAlignment="1">
      <alignment vertical="center"/>
      <extLst>
        <ext xmlns:xfpb="http://schemas.microsoft.com/office/spreadsheetml/2022/featurepropertybag" uri="{C7286773-470A-42A8-94C5-96B5CB345126}">
          <xfpb:xfComplement i="0"/>
        </ext>
      </extLst>
    </xf>
    <xf numFmtId="3" fontId="7" fillId="0" borderId="35" xfId="3" applyNumberFormat="1" applyFont="1" applyBorder="1" applyAlignment="1">
      <alignment horizontal="center" vertical="center" wrapText="1"/>
    </xf>
    <xf numFmtId="9" fontId="7" fillId="10" borderId="25"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3" fillId="0" borderId="50"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5" xfId="0" applyNumberFormat="1" applyFont="1" applyFill="1" applyBorder="1" applyAlignment="1">
      <alignment horizontal="center" vertical="center"/>
    </xf>
    <xf numFmtId="0" fontId="23" fillId="0" borderId="52"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1" xfId="3" applyFont="1" applyFill="1" applyBorder="1" applyAlignment="1">
      <alignment vertical="center"/>
    </xf>
    <xf numFmtId="0" fontId="6" fillId="2" borderId="17" xfId="3" applyFont="1" applyFill="1" applyBorder="1" applyAlignment="1">
      <alignment vertical="center"/>
    </xf>
    <xf numFmtId="0" fontId="6" fillId="2" borderId="46" xfId="3" applyFont="1" applyFill="1" applyBorder="1" applyAlignment="1">
      <alignment vertical="center"/>
    </xf>
    <xf numFmtId="0" fontId="28" fillId="15" borderId="0" xfId="1" applyFont="1" applyFill="1" applyAlignment="1">
      <alignment horizontal="center" vertical="center" wrapText="1"/>
    </xf>
    <xf numFmtId="0" fontId="39" fillId="0" borderId="12" xfId="0" applyFont="1" applyFill="1" applyBorder="1">
      <alignment vertical="top" wrapText="1"/>
    </xf>
    <xf numFmtId="0" fontId="39" fillId="0" borderId="28" xfId="0" applyFont="1" applyBorder="1">
      <alignment vertical="top" wrapText="1"/>
    </xf>
    <xf numFmtId="0" fontId="39" fillId="0" borderId="27" xfId="0" applyFont="1" applyFill="1" applyBorder="1">
      <alignment vertical="top" wrapText="1"/>
    </xf>
    <xf numFmtId="0" fontId="6" fillId="2" borderId="28" xfId="3" applyFont="1" applyFill="1" applyBorder="1" applyAlignment="1">
      <alignment vertical="center"/>
    </xf>
    <xf numFmtId="0" fontId="6" fillId="2" borderId="27" xfId="3" applyFont="1" applyFill="1" applyBorder="1" applyAlignment="1">
      <alignment vertical="center"/>
    </xf>
    <xf numFmtId="0" fontId="14" fillId="4" borderId="0" xfId="3" applyNumberFormat="1" applyFont="1" applyFill="1" applyBorder="1" applyAlignment="1">
      <alignment vertical="center"/>
    </xf>
    <xf numFmtId="0" fontId="23" fillId="3" borderId="11" xfId="3" applyFill="1" applyBorder="1">
      <alignment vertical="top" wrapText="1"/>
    </xf>
    <xf numFmtId="1" fontId="41" fillId="2" borderId="8"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9"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30" fillId="18" borderId="0" xfId="0" applyNumberFormat="1" applyFont="1" applyFill="1" applyBorder="1" applyAlignment="1">
      <alignment vertical="center"/>
    </xf>
    <xf numFmtId="0" fontId="30" fillId="18" borderId="0" xfId="3" applyNumberFormat="1" applyFont="1" applyFill="1" applyBorder="1" applyAlignment="1">
      <alignment horizontal="left" vertical="center"/>
    </xf>
    <xf numFmtId="0" fontId="31" fillId="18" borderId="0" xfId="3" applyNumberFormat="1" applyFont="1" applyFill="1" applyBorder="1" applyAlignment="1">
      <alignment horizontal="center" vertical="center" wrapText="1"/>
    </xf>
    <xf numFmtId="0" fontId="43" fillId="0" borderId="0" xfId="3" applyFont="1">
      <alignment vertical="top" wrapText="1"/>
    </xf>
    <xf numFmtId="0" fontId="30" fillId="18" borderId="0" xfId="0" applyNumberFormat="1" applyFont="1" applyFill="1" applyBorder="1" applyAlignment="1">
      <alignment horizontal="center" vertical="center"/>
    </xf>
    <xf numFmtId="0" fontId="43" fillId="0" borderId="0" xfId="0" applyFont="1">
      <alignment vertical="top" wrapText="1"/>
    </xf>
    <xf numFmtId="0" fontId="30" fillId="19" borderId="0" xfId="3" applyNumberFormat="1"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5" fillId="20" borderId="20" xfId="0" applyFont="1" applyFill="1" applyBorder="1" applyAlignment="1">
      <alignment vertical="center"/>
    </xf>
    <xf numFmtId="0" fontId="23" fillId="16" borderId="3"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23" fillId="22" borderId="9" xfId="0" applyFont="1" applyFill="1" applyBorder="1" applyAlignment="1">
      <alignment vertical="center" wrapText="1"/>
    </xf>
    <xf numFmtId="0" fontId="44" fillId="21" borderId="12" xfId="0" applyFont="1" applyFill="1" applyBorder="1" applyAlignment="1">
      <alignment horizontal="center" vertical="center" wrapText="1"/>
    </xf>
    <xf numFmtId="0" fontId="46" fillId="22" borderId="12" xfId="0" applyNumberFormat="1" applyFont="1" applyFill="1" applyBorder="1" applyAlignment="1">
      <alignment horizontal="center" vertical="center" wrapText="1"/>
    </xf>
    <xf numFmtId="0" fontId="45" fillId="22" borderId="12" xfId="0" applyNumberFormat="1" applyFont="1" applyFill="1" applyBorder="1" applyAlignment="1">
      <alignment horizontal="center" vertical="center" wrapText="1"/>
    </xf>
    <xf numFmtId="0" fontId="23" fillId="22" borderId="17" xfId="0" applyFont="1" applyFill="1" applyBorder="1" applyAlignment="1">
      <alignment vertical="center" wrapText="1"/>
    </xf>
    <xf numFmtId="0" fontId="23" fillId="22" borderId="51" xfId="0" applyFont="1" applyFill="1" applyBorder="1" applyAlignment="1">
      <alignment vertical="center" wrapText="1"/>
    </xf>
    <xf numFmtId="0" fontId="23" fillId="22" borderId="26" xfId="0" applyFont="1" applyFill="1" applyBorder="1" applyAlignment="1">
      <alignment vertical="center" wrapText="1"/>
    </xf>
    <xf numFmtId="0" fontId="23" fillId="22" borderId="17" xfId="0" applyFont="1" applyFill="1" applyBorder="1">
      <alignment vertical="top" wrapText="1"/>
    </xf>
    <xf numFmtId="0" fontId="4" fillId="0" borderId="40" xfId="0" applyNumberFormat="1" applyFont="1" applyBorder="1" applyAlignment="1">
      <alignment vertical="center"/>
    </xf>
    <xf numFmtId="0" fontId="5" fillId="17" borderId="40" xfId="0" applyNumberFormat="1" applyFont="1" applyFill="1" applyBorder="1" applyAlignment="1">
      <alignment horizontal="center" vertical="center" wrapText="1"/>
    </xf>
    <xf numFmtId="0" fontId="4" fillId="0" borderId="40" xfId="0" applyNumberFormat="1" applyFont="1" applyBorder="1" applyAlignment="1"/>
    <xf numFmtId="0" fontId="4" fillId="0" borderId="0" xfId="0" applyNumberFormat="1" applyFont="1" applyBorder="1" applyAlignment="1"/>
    <xf numFmtId="0" fontId="44" fillId="21" borderId="23" xfId="0" applyFont="1" applyFill="1" applyBorder="1" applyAlignment="1">
      <alignment horizontal="center" vertical="center" wrapText="1"/>
    </xf>
    <xf numFmtId="0" fontId="23" fillId="22" borderId="9" xfId="0" applyFont="1" applyFill="1" applyBorder="1">
      <alignment vertical="top" wrapText="1"/>
    </xf>
    <xf numFmtId="0" fontId="44" fillId="21" borderId="33" xfId="0" applyFont="1" applyFill="1" applyBorder="1" applyAlignment="1">
      <alignment horizontal="center" vertical="center" wrapText="1"/>
    </xf>
    <xf numFmtId="0" fontId="44" fillId="21" borderId="53" xfId="0" applyFont="1" applyFill="1" applyBorder="1" applyAlignment="1">
      <alignment horizontal="center" vertical="center" wrapText="1"/>
    </xf>
    <xf numFmtId="0" fontId="23" fillId="22" borderId="15" xfId="0" applyFont="1" applyFill="1" applyBorder="1" applyAlignment="1">
      <alignment vertical="center" wrapText="1"/>
    </xf>
    <xf numFmtId="0" fontId="23" fillId="3" borderId="0" xfId="3" applyFill="1" applyBorder="1">
      <alignment vertical="top" wrapText="1"/>
    </xf>
    <xf numFmtId="0" fontId="17" fillId="18" borderId="0" xfId="3" applyNumberFormat="1" applyFont="1" applyFill="1" applyBorder="1" applyAlignment="1">
      <alignment horizontal="center" vertical="center" wrapText="1"/>
    </xf>
    <xf numFmtId="0" fontId="47" fillId="3" borderId="35" xfId="0" applyNumberFormat="1" applyFont="1" applyFill="1" applyBorder="1" applyAlignment="1">
      <alignment horizontal="center" vertical="center"/>
    </xf>
    <xf numFmtId="0" fontId="48" fillId="21" borderId="36" xfId="0" applyFont="1" applyFill="1" applyBorder="1" applyAlignment="1">
      <alignment horizontal="center" vertical="center" wrapText="1"/>
    </xf>
    <xf numFmtId="0" fontId="0" fillId="0" borderId="3" xfId="0" applyBorder="1" applyAlignment="1">
      <alignment vertical="center" wrapText="1"/>
    </xf>
    <xf numFmtId="0" fontId="23" fillId="3" borderId="3" xfId="3" applyFill="1" applyBorder="1" applyAlignment="1">
      <alignment vertical="center" wrapText="1"/>
    </xf>
    <xf numFmtId="0" fontId="6" fillId="0" borderId="42" xfId="3" applyFont="1" applyBorder="1" applyAlignment="1">
      <alignment vertical="center" wrapText="1"/>
    </xf>
    <xf numFmtId="0" fontId="6" fillId="0" borderId="2" xfId="3" applyFont="1" applyBorder="1" applyAlignment="1">
      <alignment vertical="center" wrapText="1"/>
    </xf>
    <xf numFmtId="0" fontId="6" fillId="0" borderId="47" xfId="3" applyFont="1" applyBorder="1" applyAlignment="1">
      <alignment vertical="center" wrapText="1"/>
    </xf>
    <xf numFmtId="0" fontId="6" fillId="0" borderId="10" xfId="3" applyFont="1" applyBorder="1" applyAlignment="1">
      <alignment vertical="center" wrapText="1"/>
    </xf>
    <xf numFmtId="0" fontId="34" fillId="0" borderId="10"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6" xfId="0" applyNumberFormat="1" applyFont="1" applyFill="1" applyBorder="1" applyAlignment="1">
      <alignment horizontal="center" vertical="center"/>
    </xf>
    <xf numFmtId="0" fontId="38" fillId="23" borderId="6" xfId="2" applyNumberFormat="1" applyFont="1" applyFill="1" applyBorder="1" applyAlignment="1">
      <alignment horizontal="center" vertical="center"/>
    </xf>
    <xf numFmtId="165" fontId="26" fillId="0" borderId="22" xfId="2" applyNumberFormat="1" applyBorder="1" applyAlignment="1">
      <alignment horizontal="left" vertical="center"/>
    </xf>
    <xf numFmtId="165" fontId="26" fillId="0" borderId="5" xfId="2" applyNumberFormat="1" applyBorder="1" applyAlignment="1">
      <alignment horizontal="left" vertical="center"/>
    </xf>
    <xf numFmtId="165" fontId="26" fillId="0" borderId="7" xfId="2" applyNumberFormat="1" applyBorder="1" applyAlignment="1">
      <alignment horizontal="left" vertical="center"/>
    </xf>
    <xf numFmtId="0" fontId="10" fillId="0" borderId="4" xfId="1" applyFont="1" applyBorder="1" applyAlignment="1">
      <alignment vertical="top" wrapText="1"/>
    </xf>
    <xf numFmtId="0" fontId="11" fillId="0" borderId="4" xfId="1" applyFont="1" applyBorder="1" applyAlignment="1">
      <alignment vertical="top" wrapText="1"/>
    </xf>
    <xf numFmtId="0" fontId="10" fillId="0" borderId="56" xfId="1" applyFont="1" applyBorder="1" applyAlignment="1">
      <alignment vertical="top" wrapText="1"/>
    </xf>
    <xf numFmtId="0" fontId="10" fillId="0" borderId="54" xfId="1" applyFont="1" applyBorder="1" applyAlignment="1">
      <alignment vertical="top" wrapText="1"/>
    </xf>
    <xf numFmtId="0" fontId="11" fillId="0" borderId="3" xfId="1" applyFont="1" applyBorder="1" applyAlignment="1">
      <alignment vertical="top" wrapText="1"/>
    </xf>
    <xf numFmtId="0" fontId="10" fillId="0" borderId="55" xfId="1" applyFont="1" applyBorder="1" applyAlignment="1">
      <alignment vertical="top" wrapText="1"/>
    </xf>
    <xf numFmtId="0" fontId="10" fillId="0" borderId="57" xfId="1" applyFont="1" applyBorder="1" applyAlignment="1">
      <alignment vertical="top" wrapText="1"/>
    </xf>
    <xf numFmtId="0" fontId="11" fillId="0" borderId="56" xfId="1" applyFont="1" applyBorder="1" applyAlignment="1">
      <alignment vertical="top" wrapText="1"/>
    </xf>
    <xf numFmtId="0" fontId="37" fillId="0" borderId="3" xfId="0" applyFont="1" applyFill="1" applyBorder="1">
      <alignment vertical="top" wrapText="1"/>
    </xf>
    <xf numFmtId="0" fontId="37" fillId="0" borderId="25" xfId="0" applyFont="1" applyFill="1" applyBorder="1">
      <alignment vertical="top" wrapText="1"/>
    </xf>
    <xf numFmtId="0" fontId="11" fillId="0" borderId="57"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5" fillId="4" borderId="0" xfId="1" applyFont="1" applyFill="1"/>
    <xf numFmtId="0" fontId="26" fillId="2" borderId="10" xfId="2" applyNumberFormat="1" applyFill="1" applyBorder="1" applyAlignment="1">
      <alignment vertical="center"/>
    </xf>
    <xf numFmtId="0" fontId="19" fillId="3" borderId="6" xfId="3" applyNumberFormat="1" applyFont="1" applyFill="1" applyBorder="1" applyAlignment="1">
      <alignment vertical="center"/>
    </xf>
    <xf numFmtId="0" fontId="26" fillId="2" borderId="0" xfId="2" applyNumberFormat="1" applyFill="1" applyBorder="1" applyAlignment="1">
      <alignment vertical="center"/>
    </xf>
    <xf numFmtId="0" fontId="31" fillId="2" borderId="0" xfId="2" applyNumberFormat="1" applyFont="1" applyFill="1" applyBorder="1" applyAlignment="1">
      <alignment vertical="center"/>
    </xf>
    <xf numFmtId="0" fontId="25" fillId="0" borderId="0" xfId="3" applyFont="1">
      <alignment vertical="top" wrapText="1"/>
    </xf>
    <xf numFmtId="0" fontId="34" fillId="0" borderId="0" xfId="0" applyNumberFormat="1" applyFont="1" applyAlignment="1">
      <alignment shrinkToFit="1"/>
    </xf>
    <xf numFmtId="0" fontId="1" fillId="0" borderId="0" xfId="0" applyFont="1" applyAlignment="1">
      <alignment vertical="top" shrinkToFit="1"/>
    </xf>
    <xf numFmtId="0" fontId="23" fillId="0" borderId="0" xfId="3" applyAlignment="1">
      <alignment vertical="top" shrinkToFit="1"/>
    </xf>
    <xf numFmtId="0" fontId="34" fillId="0" borderId="0" xfId="0" applyFont="1" applyAlignment="1">
      <alignment shrinkToFit="1"/>
    </xf>
    <xf numFmtId="0" fontId="1" fillId="0" borderId="0" xfId="0" applyFont="1" applyBorder="1" applyAlignment="1">
      <alignment vertical="top" shrinkToFit="1"/>
    </xf>
    <xf numFmtId="0" fontId="51" fillId="10" borderId="0" xfId="1" applyFont="1" applyFill="1" applyAlignment="1">
      <alignment vertical="top" shrinkToFit="1"/>
    </xf>
    <xf numFmtId="0" fontId="51" fillId="0" borderId="0" xfId="1" applyFont="1" applyAlignment="1">
      <alignment shrinkToFit="1"/>
    </xf>
    <xf numFmtId="0" fontId="51" fillId="0" borderId="0" xfId="1" applyFont="1" applyAlignment="1">
      <alignment vertical="top" shrinkToFit="1"/>
    </xf>
    <xf numFmtId="0" fontId="52" fillId="0" borderId="0" xfId="0" applyFont="1" applyAlignment="1">
      <alignment vertical="center"/>
    </xf>
    <xf numFmtId="0" fontId="26"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3" fillId="0" borderId="0" xfId="0" applyNumberFormat="1" applyFont="1" applyAlignment="1"/>
    <xf numFmtId="0" fontId="54" fillId="0" borderId="0" xfId="0" applyNumberFormat="1" applyFont="1" applyAlignment="1"/>
    <xf numFmtId="0" fontId="14" fillId="4" borderId="0" xfId="3" applyNumberFormat="1" applyFont="1" applyFill="1" applyBorder="1" applyAlignment="1">
      <alignment horizontal="left" vertical="center"/>
    </xf>
    <xf numFmtId="0" fontId="26"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9" fillId="0" borderId="0" xfId="0" applyFont="1" applyFill="1" applyBorder="1" applyAlignment="1">
      <alignment vertical="center" wrapText="1"/>
    </xf>
    <xf numFmtId="1" fontId="41" fillId="0" borderId="0" xfId="0" applyNumberFormat="1" applyFont="1" applyFill="1" applyBorder="1" applyAlignment="1">
      <alignment vertical="center" wrapText="1"/>
    </xf>
    <xf numFmtId="0" fontId="23" fillId="0" borderId="0" xfId="0" applyFont="1" applyFill="1" applyBorder="1">
      <alignment vertical="top" wrapText="1"/>
    </xf>
    <xf numFmtId="0" fontId="34" fillId="0" borderId="0" xfId="0" applyNumberFormat="1" applyFont="1" applyFill="1" applyAlignment="1">
      <alignment shrinkToFit="1"/>
    </xf>
    <xf numFmtId="0" fontId="4" fillId="0" borderId="19" xfId="3" applyFont="1" applyBorder="1" applyAlignment="1">
      <alignment horizontal="left" vertical="center" wrapText="1"/>
    </xf>
    <xf numFmtId="0" fontId="23" fillId="0" borderId="19" xfId="3" applyBorder="1">
      <alignment vertical="top" wrapText="1"/>
    </xf>
    <xf numFmtId="0" fontId="14" fillId="4" borderId="59" xfId="0" applyNumberFormat="1" applyFont="1" applyFill="1" applyBorder="1" applyAlignment="1">
      <alignment vertical="center"/>
    </xf>
    <xf numFmtId="0" fontId="14" fillId="4" borderId="40" xfId="0" applyNumberFormat="1" applyFont="1" applyFill="1" applyBorder="1" applyAlignment="1">
      <alignment vertical="center"/>
    </xf>
    <xf numFmtId="0" fontId="14" fillId="4" borderId="24" xfId="0" applyNumberFormat="1" applyFont="1" applyFill="1" applyBorder="1" applyAlignment="1">
      <alignment vertical="center"/>
    </xf>
    <xf numFmtId="0" fontId="18" fillId="4" borderId="24" xfId="0" applyNumberFormat="1" applyFont="1" applyFill="1" applyBorder="1" applyAlignment="1">
      <alignment vertical="center"/>
    </xf>
    <xf numFmtId="0" fontId="23" fillId="0" borderId="60"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40" xfId="3" applyNumberFormat="1" applyFont="1" applyFill="1" applyBorder="1" applyAlignment="1">
      <alignment vertical="center"/>
    </xf>
    <xf numFmtId="0" fontId="3" fillId="2" borderId="24" xfId="3" applyNumberFormat="1" applyFont="1" applyFill="1" applyBorder="1" applyAlignment="1">
      <alignment vertical="center"/>
    </xf>
    <xf numFmtId="0" fontId="23"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1" xfId="0" applyNumberFormat="1" applyFont="1" applyFill="1" applyBorder="1" applyAlignment="1" applyProtection="1">
      <alignment horizontal="center" vertical="center"/>
    </xf>
    <xf numFmtId="164" fontId="18" fillId="10" borderId="5"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6"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6" xfId="0" applyNumberFormat="1" applyFont="1" applyFill="1" applyBorder="1" applyAlignment="1" applyProtection="1">
      <alignment horizontal="center" vertical="center" wrapText="1"/>
    </xf>
    <xf numFmtId="1" fontId="19" fillId="3" borderId="6" xfId="0" applyNumberFormat="1" applyFont="1" applyFill="1" applyBorder="1" applyAlignment="1" applyProtection="1">
      <alignment horizontal="left" vertical="center" wrapText="1"/>
    </xf>
    <xf numFmtId="1" fontId="20" fillId="3" borderId="6"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9" xfId="0" applyNumberFormat="1" applyFont="1" applyFill="1" applyBorder="1" applyAlignment="1" applyProtection="1">
      <alignment vertical="center"/>
    </xf>
    <xf numFmtId="0" fontId="14" fillId="4" borderId="40"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6" fillId="4" borderId="0" xfId="2" applyNumberFormat="1" applyFill="1" applyBorder="1" applyAlignment="1" applyProtection="1">
      <alignment vertical="center"/>
    </xf>
    <xf numFmtId="0" fontId="14" fillId="4" borderId="24"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5" fillId="2" borderId="12"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3" fillId="24" borderId="0" xfId="3" applyFill="1">
      <alignment vertical="top" wrapText="1"/>
    </xf>
    <xf numFmtId="0" fontId="56" fillId="4" borderId="3" xfId="3" applyNumberFormat="1" applyFont="1" applyFill="1" applyBorder="1" applyAlignment="1">
      <alignment vertical="center"/>
    </xf>
    <xf numFmtId="0" fontId="23" fillId="0" borderId="1" xfId="0" applyFont="1" applyBorder="1" applyAlignment="1">
      <alignment horizontal="left" vertical="center"/>
    </xf>
    <xf numFmtId="0" fontId="23" fillId="0" borderId="38"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0" fontId="37" fillId="0" borderId="0" xfId="0" applyFont="1">
      <alignment vertical="top" wrapText="1"/>
    </xf>
    <xf numFmtId="0" fontId="24" fillId="0" borderId="28"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9" fillId="0" borderId="1" xfId="0" applyNumberFormat="1" applyFont="1" applyFill="1" applyBorder="1" applyAlignment="1">
      <alignment vertical="center" wrapText="1"/>
    </xf>
    <xf numFmtId="0" fontId="29" fillId="0" borderId="2" xfId="0" applyNumberFormat="1" applyFont="1" applyFill="1" applyBorder="1" applyAlignment="1">
      <alignment vertical="center" wrapText="1"/>
    </xf>
    <xf numFmtId="0" fontId="29"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5"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5" xfId="0" applyNumberFormat="1" applyFont="1" applyFill="1" applyBorder="1" applyAlignment="1">
      <alignment horizontal="center" vertical="center" wrapText="1"/>
    </xf>
    <xf numFmtId="0" fontId="21" fillId="0" borderId="6" xfId="0" applyNumberFormat="1" applyFont="1" applyFill="1" applyBorder="1" applyAlignment="1">
      <alignment vertical="center" wrapText="1"/>
    </xf>
    <xf numFmtId="0" fontId="33" fillId="0" borderId="5" xfId="0" applyFont="1" applyBorder="1" applyAlignment="1">
      <alignment horizontal="left" vertical="center"/>
    </xf>
    <xf numFmtId="0" fontId="20" fillId="3" borderId="6" xfId="0" applyNumberFormat="1" applyFont="1" applyFill="1" applyBorder="1" applyAlignment="1">
      <alignment horizontal="left" vertical="center"/>
    </xf>
    <xf numFmtId="0" fontId="57" fillId="0" borderId="3" xfId="0" applyFont="1" applyBorder="1" applyAlignment="1">
      <alignment horizontal="left" vertical="center" wrapText="1"/>
    </xf>
    <xf numFmtId="0" fontId="58" fillId="3" borderId="6" xfId="0" applyNumberFormat="1" applyFont="1" applyFill="1" applyBorder="1" applyAlignment="1">
      <alignment horizontal="left" vertical="center"/>
    </xf>
    <xf numFmtId="0" fontId="57" fillId="0" borderId="2" xfId="0" applyFont="1" applyBorder="1" applyAlignment="1">
      <alignment horizontal="left" vertical="center" wrapText="1"/>
    </xf>
    <xf numFmtId="0" fontId="57" fillId="0" borderId="1" xfId="0" applyFont="1" applyBorder="1" applyAlignment="1">
      <alignment horizontal="left" vertical="center" wrapText="1"/>
    </xf>
    <xf numFmtId="0" fontId="59" fillId="3" borderId="6" xfId="2" applyNumberFormat="1" applyFont="1" applyFill="1" applyBorder="1" applyAlignment="1">
      <alignment horizontal="left" vertical="center"/>
    </xf>
    <xf numFmtId="0" fontId="11" fillId="0" borderId="54" xfId="1" applyFont="1" applyBorder="1" applyAlignment="1">
      <alignment vertical="top" wrapText="1"/>
    </xf>
    <xf numFmtId="0" fontId="11" fillId="0" borderId="55" xfId="1" applyFont="1" applyBorder="1" applyAlignment="1">
      <alignment vertical="top" wrapText="1"/>
    </xf>
    <xf numFmtId="0" fontId="60" fillId="0" borderId="3" xfId="0" applyFont="1" applyBorder="1">
      <alignment vertical="top" wrapText="1"/>
    </xf>
    <xf numFmtId="0" fontId="47" fillId="3" borderId="6"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64" fontId="18" fillId="10" borderId="58" xfId="0" applyNumberFormat="1" applyFont="1" applyFill="1" applyBorder="1" applyAlignment="1">
      <alignment horizontal="left" vertical="center"/>
    </xf>
    <xf numFmtId="0" fontId="26" fillId="0" borderId="1" xfId="2" applyNumberFormat="1" applyFill="1" applyBorder="1" applyAlignment="1">
      <alignment horizontal="left" vertical="center"/>
    </xf>
    <xf numFmtId="0" fontId="61" fillId="0" borderId="0" xfId="0" applyFont="1">
      <alignment vertical="top" wrapText="1"/>
    </xf>
    <xf numFmtId="0" fontId="62" fillId="0" borderId="0" xfId="0" applyFont="1">
      <alignment vertical="top" wrapText="1"/>
    </xf>
    <xf numFmtId="0" fontId="63" fillId="0" borderId="0" xfId="0" applyFont="1">
      <alignment vertical="top" wrapText="1"/>
    </xf>
    <xf numFmtId="0" fontId="64" fillId="0" borderId="0" xfId="0" applyFont="1" applyAlignment="1">
      <alignment vertical="center" wrapText="1"/>
    </xf>
    <xf numFmtId="0" fontId="29" fillId="0" borderId="2" xfId="0" applyFont="1" applyBorder="1" applyAlignment="1">
      <alignment vertical="center" wrapText="1"/>
    </xf>
    <xf numFmtId="0" fontId="26" fillId="0" borderId="3" xfId="2" applyBorder="1" applyAlignment="1">
      <alignment vertical="center" wrapText="1"/>
    </xf>
    <xf numFmtId="0" fontId="66" fillId="0" borderId="0" xfId="0" applyFont="1">
      <alignment vertical="top" wrapText="1"/>
    </xf>
    <xf numFmtId="0" fontId="24" fillId="0" borderId="0" xfId="0" applyFont="1">
      <alignment vertical="top" wrapText="1"/>
    </xf>
    <xf numFmtId="0" fontId="67" fillId="0" borderId="0" xfId="0" applyFont="1">
      <alignment vertical="top" wrapText="1"/>
    </xf>
    <xf numFmtId="0" fontId="26" fillId="0" borderId="2" xfId="2" applyNumberFormat="1" applyFill="1" applyBorder="1" applyAlignment="1">
      <alignment vertical="center" wrapText="1"/>
    </xf>
    <xf numFmtId="0" fontId="68" fillId="0" borderId="0" xfId="0" applyFont="1" applyAlignment="1">
      <alignment vertical="center" wrapText="1"/>
    </xf>
    <xf numFmtId="0" fontId="33"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7ECCA0"/>
      <color rgb="FFBF000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leval@icloud.com" TargetMode="External"/><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taleval.com/SiteDocs/TalEvalRazor_Website_Terms.pdf" TargetMode="External"/><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americassoftware.com/training-videos?pgid=kovk98ip-ed593369-4e02-43c4-b3aa-aa0dba550c57" TargetMode="External"/><Relationship Id="rId2" Type="http://schemas.openxmlformats.org/officeDocument/2006/relationships/hyperlink" Target="mailto:connie9030@icloud.com" TargetMode="External"/><Relationship Id="rId1" Type="http://schemas.openxmlformats.org/officeDocument/2006/relationships/hyperlink" Target="http://www.educause.edu/HECVAT"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abSelected="1" topLeftCell="A2" zoomScale="80" zoomScaleNormal="80" workbookViewId="0">
      <selection activeCell="C3" sqref="C3"/>
    </sheetView>
  </sheetViews>
  <sheetFormatPr baseColWidth="10" defaultColWidth="0" defaultRowHeight="0" customHeight="1" zeroHeight="1"/>
  <cols>
    <col min="1" max="1" width="8.25" customWidth="1"/>
    <col min="2" max="2" width="55.125" style="1" customWidth="1"/>
    <col min="3" max="3" width="18.875" style="14" bestFit="1" customWidth="1"/>
    <col min="4" max="4" width="55.75" style="15" customWidth="1"/>
    <col min="5" max="5" width="32" style="16" customWidth="1"/>
    <col min="6" max="6" width="30.75" style="1" customWidth="1"/>
    <col min="7" max="7" width="18.125" style="1" customWidth="1"/>
    <col min="8" max="8" width="16.625" style="1" hidden="1" customWidth="1"/>
    <col min="9" max="9" width="18.125" style="42" hidden="1" customWidth="1"/>
    <col min="10" max="10" width="18.125" style="1" hidden="1" customWidth="1"/>
    <col min="11" max="11" width="4.5" style="1" hidden="1" customWidth="1"/>
    <col min="12" max="12" width="6.625" style="1" hidden="1" customWidth="1"/>
    <col min="13" max="16384" width="6.625" hidden="1"/>
  </cols>
  <sheetData>
    <row r="1" spans="1:9" ht="0" hidden="1" customHeight="1">
      <c r="A1" t="s">
        <v>1530</v>
      </c>
    </row>
    <row r="2" spans="1:9" ht="36" customHeight="1">
      <c r="A2" s="291" t="s">
        <v>1602</v>
      </c>
      <c r="B2" s="291"/>
      <c r="C2" s="292"/>
      <c r="D2" s="341"/>
      <c r="E2" s="293"/>
      <c r="F2" s="293" t="str">
        <f>'Auto Responses'!$A$36</f>
        <v>Version 4.1.0</v>
      </c>
    </row>
    <row r="3" spans="1:9" s="1" customFormat="1" ht="29" customHeight="1">
      <c r="A3" s="294" t="s">
        <v>996</v>
      </c>
      <c r="B3" s="295"/>
      <c r="C3" s="296">
        <v>46216</v>
      </c>
      <c r="D3" s="342"/>
      <c r="E3" s="297"/>
      <c r="F3" s="298"/>
      <c r="I3" s="42"/>
    </row>
    <row r="4" spans="1:9" s="1" customFormat="1" ht="36" customHeight="1">
      <c r="A4" s="299" t="s">
        <v>921</v>
      </c>
      <c r="B4" s="300"/>
      <c r="C4" s="301"/>
      <c r="D4" s="302"/>
      <c r="E4" s="303"/>
      <c r="F4" s="303"/>
      <c r="I4" s="42"/>
    </row>
    <row r="5" spans="1:9" s="1" customFormat="1" ht="19.5" customHeight="1">
      <c r="A5" s="304" t="str">
        <f>HLOOKUP($A$4,'Auto Responses'!$D$2:$D$8,2,0)&amp;""</f>
        <v>1. Complete the "Start Here" tab and review the "Required Questions" guidance to find the other sections are required for your product or service.</v>
      </c>
      <c r="B5" s="305"/>
      <c r="C5" s="306"/>
      <c r="D5" s="343"/>
      <c r="E5" s="305"/>
      <c r="F5" s="307"/>
      <c r="I5" s="42"/>
    </row>
    <row r="6" spans="1:9" s="1" customFormat="1" ht="19.5" customHeight="1">
      <c r="A6" s="304" t="str">
        <f>HLOOKUP($A$4,'Auto Responses'!$D$2:$D$8,3,0)&amp;""</f>
        <v>2. Complete the "Organization" tab and the applicable questions in each of the next 5 tabs (Product through Privacy) that apply, based on your answers to the "Required Questions."</v>
      </c>
      <c r="B6" s="305"/>
      <c r="C6" s="306"/>
      <c r="D6" s="343"/>
      <c r="E6" s="305"/>
      <c r="F6" s="308"/>
      <c r="I6" s="42"/>
    </row>
    <row r="7" spans="1:9" s="1" customFormat="1" ht="19.5" customHeight="1">
      <c r="A7" s="304" t="str">
        <f>HLOOKUP($A$4,'Auto Responses'!$D$2:$D$8,4,0)&amp;""</f>
        <v xml:space="preserve">3. Guidance in column E may change based on your answers to prompt details in "Additional Information." If leaving an answer blank, you must also state why in "Additional Information". </v>
      </c>
      <c r="B7" s="305"/>
      <c r="C7" s="306"/>
      <c r="D7" s="343"/>
      <c r="E7" s="305"/>
      <c r="F7" s="308"/>
      <c r="I7" s="42"/>
    </row>
    <row r="8" spans="1:9" s="1" customFormat="1" ht="19.5" customHeight="1">
      <c r="A8" s="304" t="str">
        <f>HLOOKUP($A$4,'Auto Responses'!$D$2:$D$8,5,0)&amp;""</f>
        <v>4. DO NOT complete any fields in the "Evaluation" sheets or the "Analyst Notes" column.</v>
      </c>
      <c r="B8" s="305"/>
      <c r="C8" s="306"/>
      <c r="D8" s="343"/>
      <c r="E8" s="305"/>
      <c r="F8" s="308"/>
      <c r="I8" s="42"/>
    </row>
    <row r="9" spans="1:9" s="1" customFormat="1" ht="19.5" customHeight="1">
      <c r="A9" s="304" t="str">
        <f>HLOOKUP($A$4,'Auto Responses'!$D$2:$D$8,6,0)&amp;""</f>
        <v>5. Return the completed file to institutions.</v>
      </c>
      <c r="B9" s="305"/>
      <c r="C9" s="306"/>
      <c r="D9" s="343"/>
      <c r="E9" s="305"/>
      <c r="F9" s="308"/>
      <c r="I9" s="42"/>
    </row>
    <row r="10" spans="1:9" s="1" customFormat="1" ht="19.5" customHeight="1">
      <c r="A10" s="309" t="str">
        <f>HLOOKUP($A$4,'Auto Responses'!$D$2:$D$8,7,0)&amp;""</f>
        <v>* Denotes critical questions. Critical questions are those deemed most important to institutions by higher education volunteers.</v>
      </c>
      <c r="B10" s="305"/>
      <c r="C10" s="306"/>
      <c r="D10" s="343"/>
      <c r="E10" s="305"/>
      <c r="F10" s="308"/>
      <c r="I10" s="42"/>
    </row>
    <row r="11" spans="1:9" s="1" customFormat="1" ht="19.5" customHeight="1">
      <c r="A11" s="310" t="str">
        <f>HLOOKUP($A$4,'Auto Responses'!$D$2:$D$9,8,0)&amp;""</f>
        <v>For full instructions, please visit educause.edu/HECVAT</v>
      </c>
      <c r="B11" s="305"/>
      <c r="C11" s="306"/>
      <c r="D11" s="343"/>
      <c r="E11" s="305"/>
      <c r="F11" s="311"/>
      <c r="I11" s="42"/>
    </row>
    <row r="12" spans="1:9" s="1" customFormat="1" ht="36" customHeight="1">
      <c r="A12" s="312" t="str">
        <f>VLOOKUP(LEFT($A13,4),'Auto Responses'!$N$4:$O$38,2,0)&amp;""</f>
        <v xml:space="preserve"> General Information</v>
      </c>
      <c r="B12" s="300"/>
      <c r="C12" s="313"/>
      <c r="D12" s="344"/>
      <c r="E12" s="314"/>
      <c r="F12" s="314"/>
      <c r="I12" s="42"/>
    </row>
    <row r="13" spans="1:9" s="1" customFormat="1" ht="22.25" customHeight="1">
      <c r="A13" s="25" t="s">
        <v>21</v>
      </c>
      <c r="B13" s="26" t="str">
        <f>VLOOKUP($A13,Questions!$A$2:$X$333,2,0)&amp;""</f>
        <v>Solution Provider Name</v>
      </c>
      <c r="C13" s="83" t="s">
        <v>1645</v>
      </c>
      <c r="D13" s="39"/>
      <c r="E13" s="39"/>
      <c r="F13" s="57"/>
      <c r="I13" s="42"/>
    </row>
    <row r="14" spans="1:9" s="1" customFormat="1" ht="22.25" customHeight="1">
      <c r="A14" s="25" t="s">
        <v>24</v>
      </c>
      <c r="B14" s="26" t="str">
        <f>VLOOKUP($A14,Questions!$A$2:$X$333,2,0)&amp;""</f>
        <v>Solution Name</v>
      </c>
      <c r="C14" s="83" t="s">
        <v>1753</v>
      </c>
      <c r="D14" s="39"/>
      <c r="E14" s="40"/>
      <c r="F14" s="57"/>
      <c r="I14" s="42"/>
    </row>
    <row r="15" spans="1:9" s="1" customFormat="1" ht="22.25" customHeight="1">
      <c r="A15" s="25" t="s">
        <v>25</v>
      </c>
      <c r="B15" s="26" t="str">
        <f>VLOOKUP($A15,Questions!$A$2:$X$333,2,0)&amp;""</f>
        <v>Solution Description</v>
      </c>
      <c r="C15" s="359" t="s">
        <v>1754</v>
      </c>
      <c r="D15" s="39"/>
      <c r="E15" s="40"/>
      <c r="F15" s="57"/>
      <c r="I15" s="42"/>
    </row>
    <row r="16" spans="1:9" s="1" customFormat="1" ht="22.25" customHeight="1">
      <c r="A16" s="25" t="s">
        <v>26</v>
      </c>
      <c r="B16" s="26" t="str">
        <f>VLOOKUP($A16,Questions!$A$2:$X$333,2,0)&amp;""</f>
        <v>Solution Provider Contact Name</v>
      </c>
      <c r="C16" s="83" t="s">
        <v>1646</v>
      </c>
      <c r="D16" s="39"/>
      <c r="E16" s="40"/>
      <c r="F16" s="57"/>
      <c r="I16" s="42"/>
    </row>
    <row r="17" spans="1:9" s="1" customFormat="1" ht="22.25" customHeight="1">
      <c r="A17" s="25" t="s">
        <v>27</v>
      </c>
      <c r="B17" s="26" t="str">
        <f>VLOOKUP($A17,Questions!$A$2:$X$333,2,0)&amp;""</f>
        <v>Solution Provider Contact Title</v>
      </c>
      <c r="C17" s="83" t="s">
        <v>1647</v>
      </c>
      <c r="D17" s="15"/>
      <c r="E17" s="40"/>
      <c r="F17" s="57"/>
      <c r="I17" s="42"/>
    </row>
    <row r="18" spans="1:9" s="1" customFormat="1" ht="22.25" customHeight="1">
      <c r="A18" s="25" t="s">
        <v>28</v>
      </c>
      <c r="B18" s="26" t="str">
        <f>VLOOKUP($A18,Questions!$A$2:$X$333,2,0)&amp;""</f>
        <v>Solution Provider Contact Email</v>
      </c>
      <c r="C18" s="362" t="s">
        <v>1648</v>
      </c>
      <c r="D18" s="39"/>
      <c r="E18" s="40"/>
      <c r="F18" s="57"/>
      <c r="I18" s="42"/>
    </row>
    <row r="19" spans="1:9" s="1" customFormat="1" ht="22.25" customHeight="1">
      <c r="A19" s="25" t="s">
        <v>29</v>
      </c>
      <c r="B19" s="26" t="str">
        <f>VLOOKUP($A19,Questions!$A$2:$X$333,2,0)&amp;""</f>
        <v>Solution Provider Contact Phone Number</v>
      </c>
      <c r="C19" s="83" t="s">
        <v>1649</v>
      </c>
      <c r="D19" s="39"/>
      <c r="E19" s="40"/>
      <c r="F19" s="57"/>
      <c r="I19" s="42"/>
    </row>
    <row r="20" spans="1:9" s="1" customFormat="1" ht="22.25" customHeight="1">
      <c r="A20" s="25" t="s">
        <v>30</v>
      </c>
      <c r="B20" s="26" t="str">
        <f>VLOOKUP($A20,Questions!$A$2:$X$333,2,0)&amp;""</f>
        <v>Country of Company Headquarters</v>
      </c>
      <c r="C20" s="83" t="s">
        <v>1650</v>
      </c>
      <c r="D20" s="39"/>
      <c r="E20" s="40"/>
      <c r="F20" s="57"/>
      <c r="I20" s="42"/>
    </row>
    <row r="21" spans="1:9" s="1" customFormat="1" ht="22.25" customHeight="1">
      <c r="A21" s="25" t="s">
        <v>32</v>
      </c>
      <c r="B21" s="26" t="str">
        <f>VLOOKUP($A21,Questions!$A$2:$X$333,2,0)&amp;""</f>
        <v>Employee Work Locations (all)</v>
      </c>
      <c r="C21" s="83" t="s">
        <v>1651</v>
      </c>
      <c r="D21" s="39"/>
      <c r="E21" s="40"/>
      <c r="F21" s="57"/>
      <c r="I21" s="42"/>
    </row>
    <row r="22" spans="1:9" s="1" customFormat="1" ht="37.25" customHeight="1" thickBot="1">
      <c r="A22" s="70" t="str">
        <f>VLOOKUP(LEFT($A23,4),'Auto Responses'!$N$4:$O$38,2,0)&amp;""</f>
        <v xml:space="preserve"> Company Information</v>
      </c>
      <c r="B22" s="29"/>
      <c r="C22" s="19" t="s">
        <v>1583</v>
      </c>
      <c r="D22" s="19" t="s">
        <v>72</v>
      </c>
      <c r="E22" s="38" t="s">
        <v>904</v>
      </c>
      <c r="F22" s="207" t="s">
        <v>905</v>
      </c>
      <c r="I22" s="42"/>
    </row>
    <row r="23" spans="1:9" s="1" customFormat="1" ht="55.5" customHeight="1">
      <c r="A23" s="25" t="s">
        <v>35</v>
      </c>
      <c r="B23" s="24" t="str">
        <f>VLOOKUP($A23,Questions!$A$2:$X$333,2,0)&amp;""</f>
        <v>Do you have a dedicated software and system development team(s) (e.g., customer support, implementation, product management, etc.)?*</v>
      </c>
      <c r="C23" s="27" t="s">
        <v>1652</v>
      </c>
      <c r="D23" s="333" t="s">
        <v>1758</v>
      </c>
      <c r="E23" s="174" t="str">
        <f>IF($C23="Yes",VLOOKUP($A23,Questions!$A$2:$X$333,17,0)&amp;"",IF($C23="No",VLOOKUP($A23,Questions!$A$2:$X$333,16,0)&amp;"",VLOOKUP($A23,Questions!$A$2:$X$333,15,0)&amp;""))</f>
        <v>Describe the structure and size of your software and system development teams. (e.g., customer support, implementation, product management, etc.).</v>
      </c>
      <c r="F23" s="208" t="str">
        <f>VLOOKUP($A23,'Institution Evaluation'!$A$56:$F$346,6,0)&amp;""</f>
        <v/>
      </c>
      <c r="I23" s="42"/>
    </row>
    <row r="24" spans="1:9" s="1" customFormat="1" ht="30">
      <c r="A24" s="25" t="s">
        <v>42</v>
      </c>
      <c r="B24" s="24" t="str">
        <f>VLOOKUP($A24,Questions!$A$2:$X$333,2,0)&amp;""</f>
        <v>Describe your organization’s business background and ownership structure, including all parent and subsidiary relationships.</v>
      </c>
      <c r="C24" s="360"/>
      <c r="D24" s="333" t="s">
        <v>1653</v>
      </c>
      <c r="E24" s="174" t="str">
        <f>IF($C24="Yes",VLOOKUP($A24,Questions!$A$2:$X$333,17,0)&amp;"",IF($C24="No",VLOOKUP($A24,Questions!$A$2:$X$333,16,0)&amp;"",VLOOKUP($A24,Questions!$A$2:$X$333,15,0)&amp;""))</f>
        <v>Include circumstances that may involve offshoring or multinational agreements.</v>
      </c>
      <c r="F24" s="208" t="str">
        <f>VLOOKUP($A24,'Institution Evaluation'!$A$56:$F$346,6,0)&amp;""</f>
        <v/>
      </c>
      <c r="I24" s="42"/>
    </row>
    <row r="25" spans="1:9" s="1" customFormat="1" ht="39.75" customHeight="1">
      <c r="A25" s="25" t="s">
        <v>44</v>
      </c>
      <c r="B25" s="24" t="str">
        <f>VLOOKUP($A25,Questions!$A$2:$X$333,2,0)&amp;""</f>
        <v>Have you operated without unplanned disruptions to this solution in the past 12 months?</v>
      </c>
      <c r="C25" s="27" t="s">
        <v>1652</v>
      </c>
      <c r="D25" s="333"/>
      <c r="E25" s="174" t="str">
        <f>IF($C25="Yes",VLOOKUP($A25,Questions!$A$2:$X$333,17,0)&amp;"",IF($C25="No",VLOOKUP($A25,Questions!$A$2:$X$333,16,0)&amp;"",VLOOKUP($A25,Questions!$A$2:$X$333,15,0)&amp;""))</f>
        <v/>
      </c>
      <c r="F25" s="208" t="str">
        <f>VLOOKUP($A25,'Institution Evaluation'!$A$56:$F$346,6,0)&amp;""</f>
        <v/>
      </c>
      <c r="I25" s="42"/>
    </row>
    <row r="26" spans="1:9" s="1" customFormat="1" ht="49.5" customHeight="1">
      <c r="A26" s="25" t="s">
        <v>45</v>
      </c>
      <c r="B26" s="24" t="str">
        <f>VLOOKUP($A26,Questions!$A$2:$X$333,2,0)&amp;""</f>
        <v>Do you have a dedicated information security staff or office?</v>
      </c>
      <c r="C26" s="27" t="s">
        <v>1654</v>
      </c>
      <c r="D26" s="364" t="s">
        <v>1695</v>
      </c>
      <c r="E26" s="174" t="str">
        <f>IF($C26="Yes",VLOOKUP($A26,Questions!$A$2:$X$333,17,0)&amp;"",IF($C26="No",VLOOKUP($A26,Questions!$A$2:$X$333,16,0)&amp;"",VLOOKUP($A26,Questions!$A$2:$X$333,15,0)&amp;""))</f>
        <v>Describe any plans to create an information security office for your organization.</v>
      </c>
      <c r="F26" s="208" t="str">
        <f>VLOOKUP($A26,'Institution Evaluation'!$A$56:$F$346,6,0)&amp;""</f>
        <v/>
      </c>
      <c r="I26" s="42"/>
    </row>
    <row r="27" spans="1:9" s="1" customFormat="1" ht="154" thickBot="1">
      <c r="A27" s="25" t="s">
        <v>47</v>
      </c>
      <c r="B27" s="24" t="str">
        <f>VLOOKUP($A27,Questions!$A$2:$X$333,2,0)&amp;""</f>
        <v>Use this area to share information about your environment that will assist those who are assessing your company's data security program.</v>
      </c>
      <c r="C27" s="359"/>
      <c r="D27" s="370" t="s">
        <v>1693</v>
      </c>
      <c r="E27" s="174" t="str">
        <f>IF($C27="Yes",VLOOKUP($A27,Questions!$A$2:$X$333,17,0)&amp;"",IF($C27="No",VLOOKUP($A27,Questions!$A$2:$X$333,16,0)&amp;"",VLOOKUP($A27,Questions!$A$2:$X$333,15,0)&amp;""))</f>
        <v>Share any details that would help information security analysts assess your solution.</v>
      </c>
      <c r="F27" s="208" t="str">
        <f>VLOOKUP($A27,'Institution Evaluation'!$A$56:$F$346,6,0)&amp;""</f>
        <v/>
      </c>
      <c r="G27" s="255" t="s">
        <v>1531</v>
      </c>
      <c r="I27" s="42"/>
    </row>
    <row r="28" spans="1:9" s="1" customFormat="1" ht="37.25" customHeight="1" thickBot="1">
      <c r="A28" s="70" t="str">
        <f>VLOOKUP(LEFT($A29,4),'Auto Responses'!$N$4:$O$38,2,0)&amp;""</f>
        <v xml:space="preserve"> Required Questions</v>
      </c>
      <c r="B28" s="29"/>
      <c r="C28" s="19" t="s">
        <v>1583</v>
      </c>
      <c r="D28"/>
      <c r="E28" s="38" t="s">
        <v>904</v>
      </c>
      <c r="F28" s="194" t="s">
        <v>905</v>
      </c>
      <c r="I28" s="42"/>
    </row>
    <row r="29" spans="1:9" s="1" customFormat="1" ht="48" customHeight="1">
      <c r="A29" s="25" t="s">
        <v>48</v>
      </c>
      <c r="B29" s="24" t="str">
        <f>VLOOKUP($A29,Questions!$A$2:$X$333,2,0)&amp;""</f>
        <v>Are you offering either a product or platform, as opposed to only offering a service</v>
      </c>
      <c r="C29" s="27" t="s">
        <v>40</v>
      </c>
      <c r="D29" s="364" t="s">
        <v>1694</v>
      </c>
      <c r="E29" s="174" t="str">
        <f>IF($C29="Yes",VLOOKUP($A29,Questions!$A$2:$X$333,17,0)&amp;"",IF($C29="No",VLOOKUP($A29,Questions!$A$2:$X$333,16,0)&amp;"",VLOOKUP($A29,Questions!$A$2:$X$333,15,0)&amp;""))</f>
        <v>DO complete the Product and Infrastructure worksheets</v>
      </c>
      <c r="F29" s="208" t="str">
        <f>VLOOKUP($A29,'Institution Evaluation'!$A$56:$F$346,6,0)&amp;""</f>
        <v/>
      </c>
      <c r="I29" s="42"/>
    </row>
    <row r="30" spans="1:9" s="1" customFormat="1" ht="58.5" customHeight="1">
      <c r="A30" s="25" t="s">
        <v>51</v>
      </c>
      <c r="B30" s="24" t="str">
        <f>VLOOKUP($A30,Questions!$A$2:$X$333,2,0)&amp;""</f>
        <v>Does your product or service have an interface?</v>
      </c>
      <c r="C30" s="27" t="s">
        <v>1652</v>
      </c>
      <c r="D30" s="46"/>
      <c r="E30" s="174" t="str">
        <f>IF($C30="Yes",VLOOKUP($A30,Questions!$A$2:$X$333,17,0)&amp;"",IF($C30="No",VLOOKUP($A30,Questions!$A$2:$X$333,16,0)&amp;"",VLOOKUP($A30,Questions!$A$2:$X$333,15,0)&amp;""))</f>
        <v>DO complete the IT Accessibility worksheet.</v>
      </c>
      <c r="F30" s="208" t="str">
        <f>VLOOKUP($A30,'Institution Evaluation'!$A$56:$F$346,6,0)&amp;""</f>
        <v/>
      </c>
      <c r="I30" s="42"/>
    </row>
    <row r="31" spans="1:9" s="1" customFormat="1" ht="54" customHeight="1">
      <c r="A31" s="25" t="s">
        <v>54</v>
      </c>
      <c r="B31" s="24" t="str">
        <f>VLOOKUP($A31,Questions!$A$2:$X$333,2,0)&amp;""</f>
        <v>Are you providing consulting services?</v>
      </c>
      <c r="C31" s="27" t="s">
        <v>1654</v>
      </c>
      <c r="D31" s="46"/>
      <c r="E31" s="174" t="str">
        <f>IF($C31="Yes",VLOOKUP($A31,Questions!$A$2:$X$333,17,0)&amp;"",IF($C31="No",VLOOKUP($A31,Questions!$A$2:$X$333,16,0)&amp;"",VLOOKUP($A31,Questions!$A$2:$X$333,15,0)&amp;""))</f>
        <v>DO NOT complete the Consulting section in the Case-Specific worksheet</v>
      </c>
      <c r="F31" s="208" t="str">
        <f>VLOOKUP($A31,'Institution Evaluation'!$A$56:$F$346,6,0)&amp;""</f>
        <v/>
      </c>
      <c r="I31" s="42"/>
    </row>
    <row r="32" spans="1:9" s="1" customFormat="1" ht="54" customHeight="1">
      <c r="A32" s="25" t="s">
        <v>58</v>
      </c>
      <c r="B32" s="24" t="str">
        <f>VLOOKUP($A32,Questions!$A$2:$X$333,2,0)&amp;""</f>
        <v>Does your solution have AI features, or are there plans to implement AI features in the next 12 months?</v>
      </c>
      <c r="C32" s="27" t="s">
        <v>1654</v>
      </c>
      <c r="D32" s="46"/>
      <c r="E32" s="174" t="str">
        <f>IF($C32="Yes",VLOOKUP($A32,Questions!$A$2:$X$333,17,0)&amp;"",IF($C32="No",VLOOKUP($A32,Questions!$A$2:$X$333,16,0)&amp;"",VLOOKUP($A32,Questions!$A$2:$X$333,15,0)&amp;""))</f>
        <v>DO NOT complete the Artificial Intelligence (AI) worksheet</v>
      </c>
      <c r="F32" s="208" t="str">
        <f>VLOOKUP($A32,'Institution Evaluation'!$A$56:$F$346,6,0)&amp;""</f>
        <v/>
      </c>
      <c r="I32" s="42"/>
    </row>
    <row r="33" spans="1:10" s="1" customFormat="1" ht="54" customHeight="1">
      <c r="A33" s="25" t="s">
        <v>61</v>
      </c>
      <c r="B33" s="24" t="str">
        <f>VLOOKUP($A33,Questions!$A$2:$X$333,2,0)&amp;""</f>
        <v>Does your solution process protected health information (PHI) or any data covered by the Health Insurance Portability and Accountability Act (HIPAA)?</v>
      </c>
      <c r="C33" s="27" t="s">
        <v>1654</v>
      </c>
      <c r="D33" s="46"/>
      <c r="E33" s="174" t="str">
        <f>IF($C33="Yes",VLOOKUP($A33,Questions!$A$2:$X$333,17,0)&amp;"",IF($C33="No",VLOOKUP($A33,Questions!$A$2:$X$333,16,0)&amp;"",VLOOKUP($A33,Questions!$A$2:$X$333,15,0)&amp;""))</f>
        <v>DO NOT complete the HIPAA section in the Case-Specific worksheet</v>
      </c>
      <c r="F33" s="208" t="str">
        <f>VLOOKUP($A33,'Institution Evaluation'!$A$56:$F$346,6,0)&amp;""</f>
        <v/>
      </c>
      <c r="I33" s="42"/>
    </row>
    <row r="34" spans="1:10" s="1" customFormat="1" ht="54" customHeight="1">
      <c r="A34" s="25" t="s">
        <v>64</v>
      </c>
      <c r="B34" s="24" t="str">
        <f>VLOOKUP($A34,Questions!$A$2:$X$333,2,0)&amp;""</f>
        <v>Is the solution designed to process, store, or transmit credit card information?</v>
      </c>
      <c r="C34" s="27" t="s">
        <v>1654</v>
      </c>
      <c r="D34" s="46"/>
      <c r="E34" s="174" t="str">
        <f>IF($C34="Yes",VLOOKUP($A34,Questions!$A$2:$X$333,17,0)&amp;"",IF($C34="No",VLOOKUP($A34,Questions!$A$2:$X$333,16,0)&amp;"",VLOOKUP($A34,Questions!$A$2:$X$333,15,0)&amp;""))</f>
        <v>DO NOT complete the PCI-DSS section in the Case-Specific worksheet</v>
      </c>
      <c r="F34" s="208" t="str">
        <f>VLOOKUP($A34,'Institution Evaluation'!$A$56:$F$346,6,0)&amp;""</f>
        <v/>
      </c>
      <c r="I34" s="42"/>
    </row>
    <row r="35" spans="1:10" s="1" customFormat="1" ht="66" customHeight="1">
      <c r="A35" s="25" t="s">
        <v>67</v>
      </c>
      <c r="B35" s="24"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7" t="s">
        <v>1654</v>
      </c>
      <c r="D35" s="46"/>
      <c r="E35" s="174" t="str">
        <f>IF($C35="Yes",VLOOKUP($A35,Questions!$A$2:$X$333,17,0)&amp;"",IF($C35="No",VLOOKUP($A35,Questions!$A$2:$X$333,16,0)&amp;"",VLOOKUP($A35,Questions!$A$2:$X$333,15,0)&amp;""))</f>
        <v>DO NOT complete the On-Prem section in the Case-Specific worksheet</v>
      </c>
      <c r="F35" s="208" t="str">
        <f>VLOOKUP($A35,'Institution Evaluation'!$A$56:$F$346,6,0)&amp;""</f>
        <v/>
      </c>
      <c r="I35" s="42"/>
    </row>
    <row r="36" spans="1:10" s="1" customFormat="1" ht="63.75" customHeight="1">
      <c r="A36" s="162" t="s">
        <v>1025</v>
      </c>
      <c r="B36" s="24" t="str">
        <f>VLOOKUP($A36,Questions!$A$2:$X$333,2,0)&amp;""</f>
        <v>Does your solution have access to personal or institutional data?</v>
      </c>
      <c r="C36" s="27" t="s">
        <v>1652</v>
      </c>
      <c r="D36" s="364" t="s">
        <v>1696</v>
      </c>
      <c r="E36" s="174" t="str">
        <f>IF($C36="Yes",VLOOKUP($A36,Questions!$A$2:$X$333,17,0)&amp;"",IF($C36="No",VLOOKUP($A36,Questions!$A$2:$X$333,16,0)&amp;"",VLOOKUP($A36,Questions!$A$2:$X$333,15,0)&amp;""))</f>
        <v>DO complete the Privacy tab</v>
      </c>
      <c r="F36" s="208" t="str">
        <f>VLOOKUP($A36,'Institution Evaluation'!$A$56:$F$346,6,0)&amp;""</f>
        <v/>
      </c>
      <c r="G36" s="255" t="s">
        <v>1531</v>
      </c>
      <c r="H36" s="42"/>
      <c r="J36" s="42"/>
    </row>
    <row r="37" spans="1:10" s="178" customFormat="1" ht="63.75" customHeight="1">
      <c r="A37" s="263" t="s">
        <v>1549</v>
      </c>
      <c r="B37" s="271"/>
      <c r="C37" s="272"/>
      <c r="D37" s="273"/>
      <c r="E37" s="274"/>
      <c r="F37" s="275"/>
      <c r="G37" s="276"/>
      <c r="H37" s="179"/>
      <c r="J37" s="179"/>
    </row>
    <row r="38" spans="1:10" ht="24.75" customHeight="1">
      <c r="A38" s="285" t="s">
        <v>1593</v>
      </c>
    </row>
    <row r="39" spans="1:10" ht="15" hidden="1" customHeight="1"/>
    <row r="74" ht="15" hidden="1" customHeight="1"/>
    <row r="75" ht="15" hidden="1" customHeight="1"/>
  </sheetData>
  <phoneticPr fontId="27" type="noConversion"/>
  <dataValidations count="2">
    <dataValidation allowBlank="1" showInputMessage="1" showErrorMessage="1" promptTitle="Warning!" prompt="The HECVAT is built using a number of complex formulas. Editing this cell can break the functionality of the tool. " sqref="E23:F36 C2:F2 C4:F12 C22:F22 A3:A38 B1:B38 A1 C28" xr:uid="{A6718379-8163-48CF-875B-B0E3FCD41C9E}"/>
    <dataValidation allowBlank="1" showInputMessage="1" showErrorMessage="1" prompt="This cell should be left blank. Input your answer in column C." sqref="D24 E16:F17 D3:F3 D16 D13:F15 D18:F21" xr:uid="{D49D790A-2236-4562-8A1A-C1D1B1C43217}"/>
  </dataValidations>
  <hyperlinks>
    <hyperlink ref="A11" r:id="rId1" display="http://www.educause.edu/HECVAT" xr:uid="{C8C809B9-E9A3-4614-BD81-E36A46E9EC44}"/>
    <hyperlink ref="C18" r:id="rId2" xr:uid="{FE029F1B-E1A5-6540-BF60-68803DEB2571}"/>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243AC80-4E0C-4331-B186-AF166D479850}">
          <x14:formula1>
            <xm:f>'Auto Responses'!$J$3:$J$4</xm:f>
          </x14:formula1>
          <xm:sqref>C23 C25:C26 C29:C37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B25" sqref="B25"/>
    </sheetView>
  </sheetViews>
  <sheetFormatPr baseColWidth="10" defaultColWidth="0" defaultRowHeight="16" zeroHeight="1"/>
  <cols>
    <col min="1" max="1" width="8.125" style="62" customWidth="1"/>
    <col min="2" max="2" width="21.75" style="62" customWidth="1"/>
    <col min="3" max="3" width="27.75" style="62" customWidth="1"/>
    <col min="4" max="4" width="21.5" style="62" bestFit="1" customWidth="1"/>
    <col min="5" max="5" width="21.375" style="62" bestFit="1" customWidth="1"/>
    <col min="6" max="6" width="17" style="62" customWidth="1"/>
    <col min="7" max="7" width="2.25" style="62" customWidth="1"/>
    <col min="8" max="8" width="6.5" style="62" customWidth="1"/>
    <col min="9" max="9" width="8.375" style="62" bestFit="1" customWidth="1"/>
    <col min="10" max="10" width="31.125" style="62" customWidth="1"/>
    <col min="11" max="13" width="22.75" style="62" customWidth="1"/>
    <col min="14" max="14" width="8.5" style="62" customWidth="1"/>
    <col min="15" max="16" width="8.25" style="62" hidden="1" customWidth="1"/>
    <col min="17" max="17" width="8.375" style="62" hidden="1" customWidth="1"/>
    <col min="18" max="24" width="8.5" style="62" hidden="1" customWidth="1"/>
    <col min="25" max="25" width="8.375" style="62" hidden="1" customWidth="1"/>
    <col min="26" max="26" width="8.25" style="62" hidden="1" customWidth="1"/>
    <col min="27" max="28" width="8.5" style="62" hidden="1" customWidth="1"/>
    <col min="29" max="29" width="8.25" style="62" hidden="1" customWidth="1"/>
    <col min="30" max="30" width="8.5" style="62" hidden="1" customWidth="1"/>
    <col min="31" max="32" width="8.375" style="62" hidden="1" customWidth="1"/>
    <col min="33" max="34" width="8.5" style="62" hidden="1" customWidth="1"/>
    <col min="35" max="35" width="10.625" style="62" hidden="1" customWidth="1"/>
    <col min="36" max="43" width="8.5" style="62" hidden="1" customWidth="1"/>
    <col min="44" max="46" width="8.375" style="62" hidden="1" customWidth="1"/>
    <col min="47" max="47" width="8.5" style="62" hidden="1" customWidth="1"/>
    <col min="48" max="48" width="8.375" style="62" hidden="1" customWidth="1"/>
    <col min="49" max="53" width="8.5" style="62" hidden="1" customWidth="1"/>
    <col min="54" max="54" width="8.75" style="62" hidden="1" customWidth="1"/>
    <col min="55" max="55" width="8.5" style="62" hidden="1" customWidth="1"/>
    <col min="56" max="56" width="8.25" style="62" hidden="1" customWidth="1"/>
    <col min="57" max="57" width="8.5" style="62" hidden="1" customWidth="1"/>
    <col min="58" max="60" width="8.375" style="62" hidden="1" customWidth="1"/>
    <col min="61" max="63" width="8.5" style="62" hidden="1" customWidth="1"/>
    <col min="64" max="64" width="17.375" style="62" hidden="1" customWidth="1"/>
    <col min="65" max="68" width="8.5" style="62" hidden="1" customWidth="1"/>
    <col min="69" max="70" width="8.375" style="62" hidden="1" customWidth="1"/>
    <col min="71" max="90" width="8.5" style="62" hidden="1" customWidth="1"/>
    <col min="91" max="91" width="11.5" style="62" hidden="1" customWidth="1"/>
    <col min="92" max="94" width="8.5" style="62" hidden="1" customWidth="1"/>
    <col min="95" max="95" width="8.375" style="62" hidden="1" customWidth="1"/>
    <col min="96" max="96" width="11.375" style="62" hidden="1" customWidth="1"/>
    <col min="97" max="97" width="8.5" style="62" hidden="1" customWidth="1"/>
    <col min="98" max="98" width="8.25" style="62" hidden="1" customWidth="1"/>
    <col min="99" max="100" width="8.375" style="62" hidden="1" customWidth="1"/>
    <col min="101" max="102" width="8.5" style="62" hidden="1" customWidth="1"/>
    <col min="103" max="103" width="8.875" style="62" hidden="1" customWidth="1"/>
    <col min="104" max="109" width="8.5" style="62" hidden="1" customWidth="1"/>
    <col min="110" max="111" width="8.375" style="62" hidden="1" customWidth="1"/>
    <col min="112" max="114" width="8.5" style="62" hidden="1" customWidth="1"/>
    <col min="115" max="116" width="8.375" style="62" hidden="1" customWidth="1"/>
    <col min="117" max="117" width="8.5" style="62" hidden="1" customWidth="1"/>
    <col min="118" max="118" width="8.375" style="62" hidden="1" customWidth="1"/>
    <col min="119" max="119" width="10.875" style="62" hidden="1" customWidth="1"/>
    <col min="120" max="124" width="8.5" style="62" hidden="1" customWidth="1"/>
    <col min="125" max="125" width="9" style="62" hidden="1" customWidth="1"/>
    <col min="126" max="128" width="8.5" style="62" hidden="1" customWidth="1"/>
    <col min="129" max="129" width="8.375" style="62" hidden="1" customWidth="1"/>
    <col min="130" max="133" width="8.5" style="62" hidden="1" customWidth="1"/>
    <col min="134" max="134" width="10.625" style="62" hidden="1" customWidth="1"/>
    <col min="135" max="135" width="8.375" style="62" hidden="1" customWidth="1"/>
    <col min="136" max="138" width="8.5" style="62" hidden="1" customWidth="1"/>
    <col min="139" max="140" width="8.375" style="62" hidden="1" customWidth="1"/>
    <col min="141" max="145" width="8.5" style="62" hidden="1" customWidth="1"/>
    <col min="146" max="146" width="8.375" style="62" hidden="1" customWidth="1"/>
    <col min="147" max="148" width="8.5" style="62" hidden="1" customWidth="1"/>
    <col min="149" max="149" width="8.375" style="62" hidden="1" customWidth="1"/>
    <col min="150" max="151" width="8.5" style="62" hidden="1" customWidth="1"/>
    <col min="152" max="152" width="8.25" style="62" hidden="1" customWidth="1"/>
    <col min="153" max="155" width="8.5" style="62" hidden="1" customWidth="1"/>
    <col min="156" max="156" width="8.375" style="62" hidden="1" customWidth="1"/>
    <col min="157" max="157" width="14.75" style="62" hidden="1" customWidth="1"/>
    <col min="158" max="158" width="8.375" style="62" hidden="1" customWidth="1"/>
    <col min="159" max="159" width="12.375" style="62" hidden="1" customWidth="1"/>
    <col min="160" max="161" width="8.5" style="62" hidden="1" customWidth="1"/>
    <col min="162" max="162" width="8.375" style="62" hidden="1" customWidth="1"/>
    <col min="163" max="164" width="8.5" style="62" hidden="1" customWidth="1"/>
    <col min="165" max="165" width="8" style="62" hidden="1" customWidth="1"/>
    <col min="166" max="166" width="8.5" style="62" hidden="1" customWidth="1"/>
    <col min="167" max="167" width="8.375" style="62" hidden="1" customWidth="1"/>
    <col min="168" max="169" width="8.5" style="62" hidden="1" customWidth="1"/>
    <col min="170" max="170" width="9" style="62" hidden="1" customWidth="1"/>
    <col min="171" max="171" width="8.25" style="62" hidden="1" customWidth="1"/>
    <col min="172" max="172" width="8.375" style="62" hidden="1" customWidth="1"/>
    <col min="173" max="173" width="8.5" style="62" hidden="1" customWidth="1"/>
    <col min="174" max="174" width="8.375" style="62" hidden="1" customWidth="1"/>
    <col min="175" max="175" width="8.5" style="62" hidden="1" customWidth="1"/>
    <col min="176" max="176" width="8.375" style="62" hidden="1" customWidth="1"/>
    <col min="177" max="177" width="8.25" style="62" hidden="1" customWidth="1"/>
    <col min="178" max="179" width="8.5" style="62" hidden="1" customWidth="1"/>
    <col min="180" max="180" width="8.25" style="62" hidden="1" customWidth="1"/>
    <col min="181" max="181" width="8.375" style="62" hidden="1" customWidth="1"/>
    <col min="182" max="183" width="8.5" style="62" hidden="1" customWidth="1"/>
    <col min="184" max="184" width="11.875" style="62" hidden="1" customWidth="1"/>
    <col min="185" max="185" width="9.125" style="62" hidden="1" customWidth="1"/>
    <col min="186" max="186" width="8.5" style="62" hidden="1" customWidth="1"/>
    <col min="187" max="187" width="10.25" style="62" hidden="1" customWidth="1"/>
    <col min="188" max="190" width="8.5" style="62" hidden="1" customWidth="1"/>
    <col min="191" max="191" width="8.375" style="62" hidden="1" customWidth="1"/>
    <col min="192" max="192" width="8.5" style="62" hidden="1" customWidth="1"/>
    <col min="193" max="193" width="8.25" style="62" hidden="1" customWidth="1"/>
    <col min="194" max="194" width="8.375" style="62" hidden="1" customWidth="1"/>
    <col min="195" max="198" width="8.5" style="62" hidden="1" customWidth="1"/>
    <col min="199" max="201" width="8.375" style="62" hidden="1" customWidth="1"/>
    <col min="202" max="202" width="8.5" style="62" hidden="1" customWidth="1"/>
    <col min="203" max="206" width="8.375" style="62" hidden="1" customWidth="1"/>
    <col min="207" max="209" width="8.5" style="62" hidden="1" customWidth="1"/>
    <col min="210" max="210" width="8.125" style="62" hidden="1" customWidth="1"/>
    <col min="211" max="211" width="8.5" style="62" hidden="1" customWidth="1"/>
    <col min="212" max="213" width="8.375" style="62" hidden="1" customWidth="1"/>
    <col min="214" max="214" width="7.875" style="62" hidden="1" customWidth="1"/>
    <col min="215" max="216" width="8.5" style="62" hidden="1" customWidth="1"/>
    <col min="217" max="217" width="8.375" style="62" hidden="1" customWidth="1"/>
    <col min="218" max="219" width="8.5" style="62" hidden="1" customWidth="1"/>
    <col min="220" max="220" width="8.375" style="62" hidden="1" customWidth="1"/>
    <col min="221" max="221" width="8.25" style="62" hidden="1" customWidth="1"/>
    <col min="222" max="222" width="8.375" style="62" hidden="1" customWidth="1"/>
    <col min="223" max="224" width="8.5" style="62" hidden="1" customWidth="1"/>
    <col min="225" max="225" width="8.375" style="62" hidden="1" customWidth="1"/>
    <col min="226" max="227" width="8.5" style="62" hidden="1" customWidth="1"/>
    <col min="228" max="231" width="8.375" style="62" hidden="1" customWidth="1"/>
    <col min="232" max="233" width="8.5" style="62" hidden="1" customWidth="1"/>
    <col min="234" max="234" width="8.375" style="62" hidden="1" customWidth="1"/>
    <col min="235" max="235" width="8.25" style="62" hidden="1" customWidth="1"/>
    <col min="236" max="236" width="8.375" style="62" hidden="1" customWidth="1"/>
    <col min="237" max="237" width="8.5" style="62" hidden="1" customWidth="1"/>
    <col min="238" max="238" width="8.25" style="62" hidden="1" customWidth="1"/>
    <col min="239" max="242" width="8.375" style="62" hidden="1" customWidth="1"/>
    <col min="243" max="243" width="10.125" style="62" hidden="1" customWidth="1"/>
    <col min="244" max="244" width="8.375" style="62" hidden="1" customWidth="1"/>
    <col min="245" max="249" width="8.5" style="62" hidden="1" customWidth="1"/>
    <col min="250" max="250" width="8.375" style="62" hidden="1" customWidth="1"/>
    <col min="251" max="254" width="8.5" style="62" hidden="1" customWidth="1"/>
    <col min="255" max="256" width="8.375" style="62" hidden="1" customWidth="1"/>
    <col min="257" max="259" width="8.5" style="62" hidden="1" customWidth="1"/>
    <col min="260" max="261" width="8.375" style="62" hidden="1" customWidth="1"/>
    <col min="262" max="263" width="8.5" style="62" hidden="1" customWidth="1"/>
    <col min="264" max="264" width="8.25" style="62" hidden="1" customWidth="1"/>
    <col min="265" max="265" width="8.5" style="62" hidden="1" customWidth="1"/>
    <col min="266" max="266" width="8.375" style="62" hidden="1" customWidth="1"/>
    <col min="267" max="267" width="8.5" style="62" hidden="1" customWidth="1"/>
    <col min="268" max="268" width="8.875" style="62" hidden="1" customWidth="1"/>
    <col min="269" max="269" width="10.375" style="62" hidden="1" customWidth="1"/>
    <col min="270" max="270" width="8.5" style="62" hidden="1" customWidth="1"/>
    <col min="271" max="273" width="8.375" style="62" hidden="1" customWidth="1"/>
    <col min="274" max="276" width="8.5" style="62" hidden="1" customWidth="1"/>
    <col min="277" max="277" width="8.25" style="62" hidden="1" customWidth="1"/>
    <col min="278" max="278" width="8.375" style="62" hidden="1" customWidth="1"/>
    <col min="279" max="282" width="8.5" style="62" hidden="1" customWidth="1"/>
    <col min="283" max="283" width="8.25" style="62" hidden="1" customWidth="1"/>
    <col min="284" max="284" width="8.375" style="62" hidden="1" customWidth="1"/>
    <col min="285" max="286" width="8.25" style="62" hidden="1" customWidth="1"/>
    <col min="287" max="288" width="8.375" style="62" hidden="1" customWidth="1"/>
    <col min="289" max="295" width="8.5" style="62" hidden="1" customWidth="1"/>
    <col min="296" max="296" width="8.125" style="62" hidden="1" customWidth="1"/>
    <col min="297" max="297" width="8.5" style="62" hidden="1" customWidth="1"/>
    <col min="298" max="298" width="7.875" style="62" hidden="1" customWidth="1"/>
    <col min="299" max="300" width="8.5" style="62" hidden="1" customWidth="1"/>
    <col min="301" max="308" width="8.25" style="62" hidden="1" customWidth="1"/>
    <col min="309" max="309" width="7.625" style="62" hidden="1" customWidth="1"/>
    <col min="310" max="310" width="8.375" style="62" hidden="1" customWidth="1"/>
    <col min="311" max="311" width="8.25" style="62" hidden="1" customWidth="1"/>
    <col min="312" max="313" width="8.375" style="62" hidden="1" customWidth="1"/>
    <col min="314" max="314" width="8.5" style="62" hidden="1" customWidth="1"/>
    <col min="315" max="315" width="8.375" style="62" hidden="1" customWidth="1"/>
    <col min="316" max="316" width="8.5" style="62" hidden="1" customWidth="1"/>
    <col min="317" max="318" width="8.375" style="62" hidden="1" customWidth="1"/>
    <col min="319" max="319" width="8.5" style="62" hidden="1" customWidth="1"/>
    <col min="320" max="321" width="8.375" style="62" hidden="1" customWidth="1"/>
    <col min="322" max="324" width="8.5" style="62" hidden="1" customWidth="1"/>
    <col min="325" max="325" width="8.375" style="62" hidden="1" customWidth="1"/>
    <col min="326" max="329" width="8.5" style="62" hidden="1" customWidth="1"/>
    <col min="330" max="330" width="9.375" style="62" hidden="1" customWidth="1"/>
    <col min="331" max="334" width="8.5" style="62" hidden="1" customWidth="1"/>
    <col min="335" max="335" width="8.375" style="62" hidden="1" customWidth="1"/>
    <col min="336" max="336" width="8.5" style="62" hidden="1" customWidth="1"/>
    <col min="337" max="337" width="8.375" style="62" hidden="1" customWidth="1"/>
    <col min="338" max="338" width="6.5" style="62" hidden="1" customWidth="1"/>
    <col min="339" max="16384" width="8.5" style="62" hidden="1"/>
  </cols>
  <sheetData>
    <row r="1" spans="1:13" hidden="1">
      <c r="A1" s="257" t="s">
        <v>1534</v>
      </c>
    </row>
    <row r="2" spans="1:13" ht="36" customHeight="1">
      <c r="A2" s="183" t="s">
        <v>1563</v>
      </c>
      <c r="B2" s="183"/>
      <c r="C2" s="183"/>
      <c r="D2" s="183"/>
      <c r="E2" s="183"/>
      <c r="F2" s="183"/>
      <c r="G2" s="183"/>
      <c r="H2" s="183"/>
      <c r="I2" s="184"/>
      <c r="J2" s="184" t="str">
        <f>'Auto Responses'!$A$36</f>
        <v>Version 4.1.0</v>
      </c>
      <c r="K2" s="184"/>
      <c r="L2" s="184"/>
      <c r="M2" s="184"/>
    </row>
    <row r="3" spans="1:13" ht="22.5" customHeight="1">
      <c r="A3" s="105"/>
      <c r="B3" s="105"/>
      <c r="C3" s="105"/>
      <c r="D3" s="105"/>
      <c r="E3" s="105"/>
      <c r="F3" s="105"/>
      <c r="G3" s="105"/>
      <c r="H3" s="105"/>
      <c r="I3" s="105"/>
      <c r="J3" s="105"/>
      <c r="K3" s="105"/>
      <c r="L3" s="105"/>
      <c r="M3" s="105"/>
    </row>
    <row r="4" spans="1:13" ht="36" customHeight="1">
      <c r="A4" s="106" t="s">
        <v>1480</v>
      </c>
      <c r="B4" s="107"/>
      <c r="C4" s="107"/>
      <c r="D4" s="107"/>
      <c r="E4" s="107"/>
      <c r="F4" s="107"/>
      <c r="G4" s="107"/>
      <c r="H4" s="107"/>
      <c r="I4" s="107"/>
      <c r="J4" s="107"/>
      <c r="K4" s="107"/>
      <c r="L4" s="107"/>
      <c r="M4" s="107"/>
    </row>
    <row r="5" spans="1:13" ht="19.5" customHeight="1">
      <c r="A5" s="315" t="str">
        <f>HLOOKUP($A$4,'Auto Responses'!$H$2:$H$5,2,0)&amp;""</f>
        <v xml:space="preserve">1. The scorecard below reflects those questions marked as "Critical Importance" or those where the "Non-Negotiable" box was checked. </v>
      </c>
      <c r="B5" s="172"/>
      <c r="C5" s="172"/>
      <c r="D5" s="172"/>
      <c r="E5" s="172"/>
      <c r="F5" s="172"/>
      <c r="G5" s="172"/>
      <c r="H5" s="172"/>
      <c r="I5" s="172"/>
      <c r="J5" s="68"/>
      <c r="K5" s="68"/>
      <c r="L5" s="68"/>
      <c r="M5" s="68"/>
    </row>
    <row r="6" spans="1:13" s="254" customFormat="1" ht="19.5" customHeight="1">
      <c r="A6" s="315" t="str">
        <f>HLOOKUP($A$4,'Auto Responses'!$H$2:$H$5,3,0)&amp;""</f>
        <v xml:space="preserve">2. Use these condensed, aggregated views to review those questions that pose the highest risk. </v>
      </c>
      <c r="B6" s="315"/>
      <c r="C6" s="315"/>
      <c r="D6" s="315"/>
      <c r="E6" s="315"/>
      <c r="F6" s="315"/>
      <c r="G6" s="315"/>
      <c r="H6" s="315"/>
      <c r="I6" s="315"/>
      <c r="J6" s="316"/>
      <c r="K6" s="316"/>
      <c r="L6" s="316"/>
      <c r="M6" s="316"/>
    </row>
    <row r="7" spans="1:13" ht="19.5" customHeight="1">
      <c r="A7" s="315" t="str">
        <f>HLOOKUP($A$4,'Auto Responses'!$H$2:$H$5,4,0)&amp;""</f>
        <v>3. Changes cannot be made in this sheet. Please make changes in the appropriate "Evaluation" tab.</v>
      </c>
      <c r="B7" s="172"/>
      <c r="C7" s="172"/>
      <c r="D7" s="172"/>
      <c r="E7" s="172"/>
      <c r="F7" s="172"/>
      <c r="G7" s="172"/>
      <c r="H7" s="172"/>
      <c r="I7" s="172"/>
      <c r="J7" s="68"/>
      <c r="K7" s="68"/>
      <c r="L7" s="68"/>
      <c r="M7" s="68"/>
    </row>
    <row r="8" spans="1:13" ht="19.5" customHeight="1" thickBot="1">
      <c r="A8" s="264" t="s">
        <v>1611</v>
      </c>
      <c r="B8" s="172"/>
      <c r="C8" s="172"/>
      <c r="D8" s="172"/>
      <c r="E8" s="172"/>
      <c r="F8" s="172"/>
      <c r="G8" s="172"/>
      <c r="H8" s="172"/>
      <c r="I8" s="172"/>
      <c r="J8" s="68"/>
      <c r="K8" s="68"/>
      <c r="L8" s="68"/>
      <c r="M8" s="68"/>
    </row>
    <row r="9" spans="1:13" s="96" customFormat="1" ht="25.5" customHeight="1">
      <c r="A9" s="163" t="str">
        <f>'START HERE'!$B$13</f>
        <v>Solution Provider Name</v>
      </c>
      <c r="B9" s="149"/>
      <c r="C9" s="143" t="str">
        <f>VLOOKUP($A9,'START HERE'!$B$13:$C$21,2,0)&amp;""</f>
        <v>America's Software Corporation</v>
      </c>
      <c r="D9" s="144"/>
      <c r="E9" s="145"/>
      <c r="F9" s="97"/>
      <c r="G9" s="97"/>
      <c r="H9" s="102"/>
      <c r="I9" s="97"/>
      <c r="J9" s="97"/>
    </row>
    <row r="10" spans="1:13" s="96" customFormat="1" ht="25.5" customHeight="1">
      <c r="A10" s="164" t="str">
        <f>'START HERE'!$B$16</f>
        <v>Solution Provider Contact Name</v>
      </c>
      <c r="B10" s="150"/>
      <c r="C10" s="142" t="str">
        <f>VLOOKUP($A10,'START HERE'!$B$13:$C$21,2,0)&amp;""</f>
        <v>Connie Harper</v>
      </c>
      <c r="D10" s="104"/>
      <c r="E10" s="146"/>
      <c r="F10" s="97"/>
      <c r="G10" s="97"/>
      <c r="H10" s="102"/>
      <c r="I10" s="97"/>
      <c r="J10" s="97"/>
    </row>
    <row r="11" spans="1:13" s="96" customFormat="1" ht="25.5" customHeight="1">
      <c r="A11" s="164" t="str">
        <f>'START HERE'!$B$17</f>
        <v>Solution Provider Contact Title</v>
      </c>
      <c r="B11" s="150"/>
      <c r="C11" s="142" t="str">
        <f>VLOOKUP($A11,'START HERE'!$B$13:$C$21,2,0)&amp;""</f>
        <v>President</v>
      </c>
      <c r="D11" s="104"/>
      <c r="E11" s="146"/>
      <c r="F11" s="97"/>
      <c r="G11" s="97"/>
      <c r="H11" s="102"/>
      <c r="I11" s="97"/>
      <c r="J11" s="97"/>
    </row>
    <row r="12" spans="1:13" s="96" customFormat="1" ht="25.5" customHeight="1">
      <c r="A12" s="164" t="str">
        <f>'START HERE'!$B$18</f>
        <v>Solution Provider Contact Email</v>
      </c>
      <c r="B12" s="150"/>
      <c r="C12" s="142" t="str">
        <f>VLOOKUP($A12,'START HERE'!$B$13:$C$21,2,0)&amp;""</f>
        <v>taleval@icloud.com</v>
      </c>
      <c r="D12" s="104"/>
      <c r="E12" s="146"/>
      <c r="F12" s="140"/>
      <c r="G12" s="141"/>
      <c r="H12" s="141"/>
      <c r="I12" s="141"/>
      <c r="J12" s="141"/>
    </row>
    <row r="13" spans="1:13" s="96" customFormat="1" ht="25.5" customHeight="1">
      <c r="A13" s="164" t="str">
        <f>'START HERE'!$B$14</f>
        <v>Solution Name</v>
      </c>
      <c r="B13" s="150"/>
      <c r="C13" s="142" t="str">
        <f>VLOOKUP($A13,'START HERE'!$B$13:$C$21,2,0)&amp;""</f>
        <v>TalEval, Discovery Pro</v>
      </c>
      <c r="D13" s="104"/>
      <c r="E13" s="146"/>
      <c r="F13" s="140"/>
      <c r="G13" s="141"/>
      <c r="H13" s="141"/>
      <c r="I13" s="141"/>
      <c r="J13" s="141"/>
    </row>
    <row r="14" spans="1:13" s="96" customFormat="1" ht="25.5" customHeight="1">
      <c r="A14" s="164" t="str">
        <f>'START HERE'!$B$15</f>
        <v>Solution Description</v>
      </c>
      <c r="B14" s="150"/>
      <c r="C14" s="142" t="str">
        <f>VLOOKUP($A14,'START HERE'!$B$13:$C$21,2,0)&amp;""</f>
        <v>Dental Hygiene/COS Student  Tracking</v>
      </c>
      <c r="D14" s="104"/>
      <c r="E14" s="146"/>
      <c r="F14" s="140"/>
      <c r="G14" s="141"/>
      <c r="H14" s="141"/>
      <c r="I14" s="141"/>
      <c r="J14" s="141"/>
    </row>
    <row r="15" spans="1:13" s="96" customFormat="1" ht="25.5" customHeight="1" thickBot="1">
      <c r="A15" s="165" t="s">
        <v>1004</v>
      </c>
      <c r="B15" s="151"/>
      <c r="C15" s="361">
        <v>46216</v>
      </c>
      <c r="D15" s="147"/>
      <c r="E15" s="148"/>
      <c r="F15" s="140"/>
      <c r="G15" s="141"/>
      <c r="H15" s="141"/>
      <c r="I15" s="141"/>
      <c r="J15" s="141"/>
    </row>
    <row r="16" spans="1:13">
      <c r="A16" s="58" t="s">
        <v>1005</v>
      </c>
      <c r="C16" s="278"/>
    </row>
    <row r="17" spans="1:338" s="94" customFormat="1" ht="24" customHeight="1" thickBot="1">
      <c r="A17" s="95"/>
      <c r="B17" s="95"/>
      <c r="C17" s="95"/>
    </row>
    <row r="18" spans="1:338" ht="37.25" customHeight="1" thickBot="1">
      <c r="B18" s="90" t="s">
        <v>1003</v>
      </c>
      <c r="C18" s="117" t="s">
        <v>1021</v>
      </c>
      <c r="D18" s="89" t="s">
        <v>1598</v>
      </c>
      <c r="E18" s="116" t="s">
        <v>1002</v>
      </c>
      <c r="F18" s="93" t="s">
        <v>1001</v>
      </c>
    </row>
    <row r="19" spans="1:338" s="91" customFormat="1" ht="37.25" customHeight="1" thickBot="1">
      <c r="B19" s="120" t="s">
        <v>1020</v>
      </c>
      <c r="C19" s="121">
        <f>SUM('(backend scoring)'!$Q$3:$Q$333)</f>
        <v>0</v>
      </c>
      <c r="D19" s="122">
        <f>SUMIF('(backend scoring)'!$Q$3:$Q$333,1,'(backend scoring)'!$O$3:$O$333)</f>
        <v>0</v>
      </c>
      <c r="E19" s="122">
        <f>SUMIF('(backend scoring)'!$Q$3:$Q$333,1,'(backend scoring)'!$P$3:$P$333)</f>
        <v>0</v>
      </c>
      <c r="F19" s="123" t="str">
        <f>IF(D19=0,"N/A",E19/D19)</f>
        <v>N/A</v>
      </c>
    </row>
    <row r="20" spans="1:338" s="91" customFormat="1" ht="37.25" customHeight="1" thickBot="1">
      <c r="B20" s="120" t="s">
        <v>1609</v>
      </c>
      <c r="C20" s="121">
        <f>SUM('(backend scoring)'!$T$3:$T$333)</f>
        <v>90</v>
      </c>
      <c r="D20" s="122">
        <f>SUMIF('(backend scoring)'!$N$3:$N$333,1,'(backend scoring)'!$O$3:$O$333)</f>
        <v>1220</v>
      </c>
      <c r="E20" s="122">
        <f>SUMIF('(backend scoring)'!$N$3:$N$333,1,'(backend scoring)'!$P$3:$P$333)</f>
        <v>1080</v>
      </c>
      <c r="F20" s="123">
        <f>IF(D20=0,"N/A",E20/D20)</f>
        <v>0.88524590163934425</v>
      </c>
      <c r="G20" s="255" t="s">
        <v>1531</v>
      </c>
    </row>
    <row r="21" spans="1:33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7" thickBo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c r="A23" s="317" t="s">
        <v>1610</v>
      </c>
      <c r="B23" s="170"/>
      <c r="C23" s="170"/>
      <c r="D23" s="170"/>
      <c r="E23" s="170"/>
      <c r="F23" s="171"/>
      <c r="G23" s="173"/>
      <c r="H23" s="317" t="s">
        <v>1033</v>
      </c>
      <c r="I23" s="170"/>
      <c r="J23" s="170"/>
      <c r="K23" s="170"/>
      <c r="L23" s="170"/>
      <c r="M23" s="171"/>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c r="A24" s="160"/>
      <c r="B24" s="214" t="s">
        <v>1011</v>
      </c>
      <c r="C24" s="214" t="s">
        <v>1</v>
      </c>
      <c r="D24" s="214" t="s">
        <v>1583</v>
      </c>
      <c r="E24" s="214" t="s">
        <v>72</v>
      </c>
      <c r="F24" s="215" t="s">
        <v>905</v>
      </c>
      <c r="G24" s="212"/>
      <c r="H24" s="160"/>
      <c r="I24" s="214" t="s">
        <v>1011</v>
      </c>
      <c r="J24" s="214" t="s">
        <v>1</v>
      </c>
      <c r="K24" s="214" t="s">
        <v>1583</v>
      </c>
      <c r="L24" s="214" t="s">
        <v>72</v>
      </c>
      <c r="M24" s="215" t="s">
        <v>905</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c r="A25" s="216">
        <v>1</v>
      </c>
      <c r="B25" s="216" t="e">
        <f ca="1">_xlfn.XLOOKUP($A25,'(backend scoring)'!$V$2:$V$333,'(backend scoring)'!$A$2:$A$333,"")</f>
        <v>#NAME?</v>
      </c>
      <c r="C25" s="216" t="str">
        <f ca="1">IFERROR(VLOOKUP($B25,'Institution Evaluation'!$A$55:$F$346,2,0),IFERROR(VLOOKUP($B25,'Privacy Analyst Evaluation'!$A$46:$F$120,2,0),""))&amp;""</f>
        <v/>
      </c>
      <c r="D25" s="216" t="str">
        <f ca="1">IFERROR(VLOOKUP($B25,'Institution Evaluation'!$A$55:$F$346,3,0),IFERROR(VLOOKUP($B25,'Privacy Analyst Evaluation'!$A$46:$F$120,3,0),""))&amp;""</f>
        <v/>
      </c>
      <c r="E25" s="216" t="str">
        <f ca="1">IFERROR(VLOOKUP($B25,'Institution Evaluation'!$A$55:$F$346,4,0),IFERROR(VLOOKUP($B25,'Privacy Analyst Evaluation'!$A$46:$F$120,4,0),""))&amp;""</f>
        <v/>
      </c>
      <c r="F25" s="216" t="str">
        <f ca="1">IFERROR(VLOOKUP($B25,'Institution Evaluation'!$A$55:$F$346,6,0),IFERROR(VLOOKUP($B25,'Privacy Analyst Evaluation'!$A$46:$F$120,6,0),""))&amp;""</f>
        <v/>
      </c>
      <c r="G25" s="217"/>
      <c r="H25" s="216">
        <v>1</v>
      </c>
      <c r="I25" s="216" t="e">
        <f ca="1">_xlfn.XLOOKUP($H25,'(backend scoring)'!$S$2:$S$333,'(backend scoring)'!$A$2:$A$333,"")</f>
        <v>#NAME?</v>
      </c>
      <c r="J25" s="216" t="str">
        <f ca="1">IFERROR(VLOOKUP($I25,'Institution Evaluation'!$A$55:$F$346,2,0),IFERROR(VLOOKUP($I25,'Privacy Analyst Evaluation'!$A$46:$F$120,2,0),""))&amp;""</f>
        <v/>
      </c>
      <c r="K25" s="216" t="str">
        <f ca="1">IFERROR(VLOOKUP($I25,'Institution Evaluation'!$A$55:$F$346,3,0),IFERROR(VLOOKUP($I25,'Privacy Analyst Evaluation'!$A$46:$F$120,3,0),""))&amp;""</f>
        <v/>
      </c>
      <c r="L25" s="216" t="str">
        <f ca="1">IFERROR(VLOOKUP($I25,'Institution Evaluation'!$A$55:$F$346,4,0),IFERROR(VLOOKUP($I25,'Privacy Analyst Evaluation'!$A$46:$F$120,4,0),""))&amp;""</f>
        <v/>
      </c>
      <c r="M25" s="216" t="str">
        <f ca="1">IFERROR(VLOOKUP($I25,'Institution Evaluation'!$A$55:$F$346,6,0),IFERROR(VLOOKUP($I25,'Privacy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c r="A26" s="216">
        <f>IFERROR(IF($A25+1&gt;'(backend scoring)'!$T$335,"",$A25+1),"")</f>
        <v>2</v>
      </c>
      <c r="B26" s="216" t="e">
        <f ca="1">_xlfn.XLOOKUP($A26,'(backend scoring)'!$V$2:$V$333,'(backend scoring)'!$A$2:$A$333,"")</f>
        <v>#NAME?</v>
      </c>
      <c r="C26" s="216" t="str">
        <f ca="1">IFERROR(VLOOKUP($B26,'Institution Evaluation'!$A$55:$F$346,2,0),IFERROR(VLOOKUP($B26,'Privacy Analyst Evaluation'!$A$46:$F$120,2,0),""))&amp;""</f>
        <v/>
      </c>
      <c r="D26" s="216" t="str">
        <f ca="1">IFERROR(VLOOKUP($B26,'Institution Evaluation'!$A$55:$F$346,3,0),IFERROR(VLOOKUP($B26,'Privacy Analyst Evaluation'!$A$46:$F$120,3,0),""))&amp;""</f>
        <v/>
      </c>
      <c r="E26" s="216" t="str">
        <f ca="1">IFERROR(VLOOKUP($B26,'Institution Evaluation'!$A$55:$F$346,4,0),IFERROR(VLOOKUP($B26,'Privacy Analyst Evaluation'!$A$46:$F$120,4,0),""))&amp;""</f>
        <v/>
      </c>
      <c r="F26" s="216" t="str">
        <f ca="1">IFERROR(VLOOKUP($B26,'Institution Evaluation'!$A$55:$F$346,6,0),IFERROR(VLOOKUP($B26,'Privacy Analyst Evaluation'!$A$46:$F$120,6,0),""))&amp;""</f>
        <v/>
      </c>
      <c r="G26" s="217"/>
      <c r="H26" s="216" t="str">
        <f>IFERROR(IF($H25+1&gt;'(backend scoring)'!$Q$335,"",$H25+1),"")</f>
        <v/>
      </c>
      <c r="I26" s="216" t="e">
        <f ca="1">_xlfn.XLOOKUP($H26,'(backend scoring)'!$S$2:$S$333,'(backend scoring)'!$A$2:$A$333,"")</f>
        <v>#NAME?</v>
      </c>
      <c r="J26" s="216" t="str">
        <f ca="1">IFERROR(VLOOKUP($I26,'Institution Evaluation'!$A$55:$F$346,2,0),IFERROR(VLOOKUP($I26,'Privacy Analyst Evaluation'!$A$46:$F$120,2,0),""))</f>
        <v/>
      </c>
      <c r="K26" s="216" t="str">
        <f ca="1">IFERROR(VLOOKUP($I26,'Institution Evaluation'!$A$55:$F$346,3,0),IFERROR(VLOOKUP($I26,'Privacy Analyst Evaluation'!$A$46:$F$120,3,0),""))&amp;""</f>
        <v/>
      </c>
      <c r="L26" s="216" t="str">
        <f ca="1">IFERROR(VLOOKUP($I26,'Institution Evaluation'!$A$55:$F$346,4,0),IFERROR(VLOOKUP($I26,'Privacy Analyst Evaluation'!$A$46:$F$120,4,0),""))&amp;""</f>
        <v/>
      </c>
      <c r="M26" s="216" t="str">
        <f ca="1">IFERROR(VLOOKUP($I26,'Institution Evaluation'!$A$55:$F$346,6,0),IFERROR(VLOOKUP($I26,'Privacy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c r="A27" s="216">
        <f>IFERROR(IF($A26+1&gt;'(backend scoring)'!$T$335,"",$A26+1),"")</f>
        <v>3</v>
      </c>
      <c r="B27" s="216" t="e">
        <f ca="1">_xlfn.XLOOKUP($A27,'(backend scoring)'!$V$2:$V$333,'(backend scoring)'!$A$2:$A$333,"")</f>
        <v>#NAME?</v>
      </c>
      <c r="C27" s="216" t="str">
        <f ca="1">IFERROR(VLOOKUP($B27,'Institution Evaluation'!$A$55:$F$346,2,0),IFERROR(VLOOKUP($B27,'Privacy Analyst Evaluation'!$A$46:$F$120,2,0),""))&amp;""</f>
        <v/>
      </c>
      <c r="D27" s="216" t="str">
        <f ca="1">IFERROR(VLOOKUP($B27,'Institution Evaluation'!$A$55:$F$346,3,0),IFERROR(VLOOKUP($B27,'Privacy Analyst Evaluation'!$A$46:$F$120,3,0),""))&amp;""</f>
        <v/>
      </c>
      <c r="E27" s="216" t="str">
        <f ca="1">IFERROR(VLOOKUP($B27,'Institution Evaluation'!$A$55:$F$346,4,0),IFERROR(VLOOKUP($B27,'Privacy Analyst Evaluation'!$A$46:$F$120,4,0),""))&amp;""</f>
        <v/>
      </c>
      <c r="F27" s="216" t="str">
        <f ca="1">IFERROR(VLOOKUP($B27,'Institution Evaluation'!$A$55:$F$346,6,0),IFERROR(VLOOKUP($B27,'Privacy Analyst Evaluation'!$A$46:$F$120,6,0),""))&amp;""</f>
        <v/>
      </c>
      <c r="G27" s="217"/>
      <c r="H27" s="216" t="str">
        <f>IFERROR(IF($H26+1&gt;'(backend scoring)'!$Q$335,"",$H26+1),"")</f>
        <v/>
      </c>
      <c r="I27" s="216" t="e">
        <f ca="1">_xlfn.XLOOKUP($H27,'(backend scoring)'!$S$2:$S$333,'(backend scoring)'!$A$2:$A$333,"")</f>
        <v>#NAME?</v>
      </c>
      <c r="J27" s="216" t="str">
        <f ca="1">IFERROR(VLOOKUP($I27,'Institution Evaluation'!$A$55:$F$346,2,0),IFERROR(VLOOKUP($I27,'Privacy Analyst Evaluation'!$A$46:$F$120,2,0),""))</f>
        <v/>
      </c>
      <c r="K27" s="216" t="str">
        <f ca="1">IFERROR(VLOOKUP($I27,'Institution Evaluation'!$A$55:$F$346,3,0),IFERROR(VLOOKUP($I27,'Privacy Analyst Evaluation'!$A$46:$F$120,3,0),""))&amp;""</f>
        <v/>
      </c>
      <c r="L27" s="216" t="str">
        <f ca="1">IFERROR(VLOOKUP($I27,'Institution Evaluation'!$A$55:$F$346,4,0),IFERROR(VLOOKUP($I27,'Privacy Analyst Evaluation'!$A$46:$F$120,4,0),""))&amp;""</f>
        <v/>
      </c>
      <c r="M27" s="216" t="str">
        <f ca="1">IFERROR(VLOOKUP($I27,'Institution Evaluation'!$A$55:$F$346,6,0),IFERROR(VLOOKUP($I27,'Privacy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17">
      <c r="A28" s="216">
        <f>IFERROR(IF($A27+1&gt;'(backend scoring)'!$T$335,"",$A27+1),"")</f>
        <v>4</v>
      </c>
      <c r="B28" s="216" t="e">
        <f ca="1">_xlfn.XLOOKUP($A28,'(backend scoring)'!$V$2:$V$333,'(backend scoring)'!$A$2:$A$333,"")</f>
        <v>#NAME?</v>
      </c>
      <c r="C28" s="216" t="str">
        <f ca="1">IFERROR(VLOOKUP($B28,'Institution Evaluation'!$A$55:$F$346,2,0),IFERROR(VLOOKUP($B28,'Privacy Analyst Evaluation'!$A$46:$F$120,2,0),""))&amp;""</f>
        <v/>
      </c>
      <c r="D28" s="216" t="str">
        <f ca="1">IFERROR(VLOOKUP($B28,'Institution Evaluation'!$A$55:$F$346,3,0),IFERROR(VLOOKUP($B28,'Privacy Analyst Evaluation'!$A$46:$F$120,3,0),""))&amp;""</f>
        <v/>
      </c>
      <c r="E28" s="216" t="str">
        <f ca="1">IFERROR(VLOOKUP($B28,'Institution Evaluation'!$A$55:$F$346,4,0),IFERROR(VLOOKUP($B28,'Privacy Analyst Evaluation'!$A$46:$F$120,4,0),""))&amp;""</f>
        <v/>
      </c>
      <c r="F28" s="216" t="str">
        <f ca="1">IFERROR(VLOOKUP($B28,'Institution Evaluation'!$A$55:$F$346,6,0),IFERROR(VLOOKUP($B28,'Privacy Analyst Evaluation'!$A$46:$F$120,6,0),""))&amp;""</f>
        <v/>
      </c>
      <c r="G28" s="217"/>
      <c r="H28" s="216" t="str">
        <f>IFERROR(IF($H27+1&gt;'(backend scoring)'!$Q$335,"",$H27+1),"")</f>
        <v/>
      </c>
      <c r="I28" s="216" t="e">
        <f ca="1">_xlfn.XLOOKUP($H28,'(backend scoring)'!$S$2:$S$333,'(backend scoring)'!$A$2:$A$333,"")</f>
        <v>#NAME?</v>
      </c>
      <c r="J28" s="216" t="str">
        <f ca="1">IFERROR(VLOOKUP($I28,'Institution Evaluation'!$A$55:$F$346,2,0),IFERROR(VLOOKUP($I28,'Privacy Analyst Evaluation'!$A$46:$F$120,2,0),""))</f>
        <v/>
      </c>
      <c r="K28" s="216" t="str">
        <f ca="1">IFERROR(VLOOKUP($I28,'Institution Evaluation'!$A$55:$F$346,3,0),IFERROR(VLOOKUP($I28,'Privacy Analyst Evaluation'!$A$46:$F$120,3,0),""))&amp;""</f>
        <v/>
      </c>
      <c r="L28" s="216" t="str">
        <f ca="1">IFERROR(VLOOKUP($I28,'Institution Evaluation'!$A$55:$F$346,4,0),IFERROR(VLOOKUP($I28,'Privacy Analyst Evaluation'!$A$46:$F$120,4,0),""))&amp;""</f>
        <v/>
      </c>
      <c r="M28" s="216" t="str">
        <f ca="1">IFERROR(VLOOKUP($I28,'Institution Evaluation'!$A$55:$F$346,6,0),IFERROR(VLOOKUP($I28,'Privacy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17">
      <c r="A29" s="216">
        <f>IFERROR(IF($A28+1&gt;'(backend scoring)'!$T$335,"",$A28+1),"")</f>
        <v>5</v>
      </c>
      <c r="B29" s="216" t="e">
        <f ca="1">_xlfn.XLOOKUP($A29,'(backend scoring)'!$V$2:$V$333,'(backend scoring)'!$A$2:$A$333,"")</f>
        <v>#NAME?</v>
      </c>
      <c r="C29" s="216" t="str">
        <f ca="1">IFERROR(VLOOKUP($B29,'Institution Evaluation'!$A$55:$F$346,2,0),IFERROR(VLOOKUP($B29,'Privacy Analyst Evaluation'!$A$46:$F$120,2,0),""))&amp;""</f>
        <v/>
      </c>
      <c r="D29" s="216" t="str">
        <f ca="1">IFERROR(VLOOKUP($B29,'Institution Evaluation'!$A$55:$F$346,3,0),IFERROR(VLOOKUP($B29,'Privacy Analyst Evaluation'!$A$46:$F$120,3,0),""))&amp;""</f>
        <v/>
      </c>
      <c r="E29" s="216" t="str">
        <f ca="1">IFERROR(VLOOKUP($B29,'Institution Evaluation'!$A$55:$F$346,4,0),IFERROR(VLOOKUP($B29,'Privacy Analyst Evaluation'!$A$46:$F$120,4,0),""))&amp;""</f>
        <v/>
      </c>
      <c r="F29" s="216" t="str">
        <f ca="1">IFERROR(VLOOKUP($B29,'Institution Evaluation'!$A$55:$F$346,6,0),IFERROR(VLOOKUP($B29,'Privacy Analyst Evaluation'!$A$46:$F$120,6,0),""))&amp;""</f>
        <v/>
      </c>
      <c r="G29" s="217"/>
      <c r="H29" s="216" t="str">
        <f>IFERROR(IF($H28+1&gt;'(backend scoring)'!$Q$335,"",$H28+1),"")</f>
        <v/>
      </c>
      <c r="I29" s="216" t="e">
        <f ca="1">_xlfn.XLOOKUP($H29,'(backend scoring)'!$S$2:$S$333,'(backend scoring)'!$A$2:$A$333,"")</f>
        <v>#NAME?</v>
      </c>
      <c r="J29" s="216" t="str">
        <f ca="1">IFERROR(VLOOKUP($I29,'Institution Evaluation'!$A$55:$F$346,2,0),IFERROR(VLOOKUP($I29,'Privacy Analyst Evaluation'!$A$46:$F$120,2,0),""))</f>
        <v/>
      </c>
      <c r="K29" s="216" t="str">
        <f ca="1">IFERROR(VLOOKUP($I29,'Institution Evaluation'!$A$55:$F$346,3,0),IFERROR(VLOOKUP($I29,'Privacy Analyst Evaluation'!$A$46:$F$120,3,0),""))&amp;""</f>
        <v/>
      </c>
      <c r="L29" s="216" t="str">
        <f ca="1">IFERROR(VLOOKUP($I29,'Institution Evaluation'!$A$55:$F$346,4,0),IFERROR(VLOOKUP($I29,'Privacy Analyst Evaluation'!$A$46:$F$120,4,0),""))&amp;""</f>
        <v/>
      </c>
      <c r="M29" s="216" t="str">
        <f ca="1">IFERROR(VLOOKUP($I29,'Institution Evaluation'!$A$55:$F$346,6,0),IFERROR(VLOOKUP($I29,'Privacy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17">
      <c r="A30" s="216">
        <f>IFERROR(IF($A29+1&gt;'(backend scoring)'!$T$335,"",$A29+1),"")</f>
        <v>6</v>
      </c>
      <c r="B30" s="216" t="e">
        <f ca="1">_xlfn.XLOOKUP($A30,'(backend scoring)'!$V$2:$V$333,'(backend scoring)'!$A$2:$A$333,"")</f>
        <v>#NAME?</v>
      </c>
      <c r="C30" s="216" t="str">
        <f ca="1">IFERROR(VLOOKUP($B30,'Institution Evaluation'!$A$55:$F$346,2,0),IFERROR(VLOOKUP($B30,'Privacy Analyst Evaluation'!$A$46:$F$120,2,0),""))&amp;""</f>
        <v/>
      </c>
      <c r="D30" s="216" t="str">
        <f ca="1">IFERROR(VLOOKUP($B30,'Institution Evaluation'!$A$55:$F$346,3,0),IFERROR(VLOOKUP($B30,'Privacy Analyst Evaluation'!$A$46:$F$120,3,0),""))&amp;""</f>
        <v/>
      </c>
      <c r="E30" s="216" t="str">
        <f ca="1">IFERROR(VLOOKUP($B30,'Institution Evaluation'!$A$55:$F$346,4,0),IFERROR(VLOOKUP($B30,'Privacy Analyst Evaluation'!$A$46:$F$120,4,0),""))&amp;""</f>
        <v/>
      </c>
      <c r="F30" s="216" t="str">
        <f ca="1">IFERROR(VLOOKUP($B30,'Institution Evaluation'!$A$55:$F$346,6,0),IFERROR(VLOOKUP($B30,'Privacy Analyst Evaluation'!$A$46:$F$120,6,0),""))&amp;""</f>
        <v/>
      </c>
      <c r="G30" s="217"/>
      <c r="H30" s="216" t="str">
        <f>IFERROR(IF($H29+1&gt;'(backend scoring)'!$Q$335,"",$H29+1),"")</f>
        <v/>
      </c>
      <c r="I30" s="216" t="e">
        <f ca="1">_xlfn.XLOOKUP($H30,'(backend scoring)'!$S$2:$S$333,'(backend scoring)'!$A$2:$A$333,"")</f>
        <v>#NAME?</v>
      </c>
      <c r="J30" s="216" t="str">
        <f ca="1">IFERROR(VLOOKUP($I30,'Institution Evaluation'!$A$55:$F$346,2,0),IFERROR(VLOOKUP($I30,'Privacy Analyst Evaluation'!$A$46:$F$120,2,0),""))</f>
        <v/>
      </c>
      <c r="K30" s="216" t="str">
        <f ca="1">IFERROR(VLOOKUP($I30,'Institution Evaluation'!$A$55:$F$346,3,0),IFERROR(VLOOKUP($I30,'Privacy Analyst Evaluation'!$A$46:$F$120,3,0),""))&amp;""</f>
        <v/>
      </c>
      <c r="L30" s="216" t="str">
        <f ca="1">IFERROR(VLOOKUP($I30,'Institution Evaluation'!$A$55:$F$346,4,0),IFERROR(VLOOKUP($I30,'Privacy Analyst Evaluation'!$A$46:$F$120,4,0),""))&amp;""</f>
        <v/>
      </c>
      <c r="M30" s="216" t="str">
        <f ca="1">IFERROR(VLOOKUP($I30,'Institution Evaluation'!$A$55:$F$346,6,0),IFERROR(VLOOKUP($I30,'Privacy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17">
      <c r="A31" s="216">
        <f>IFERROR(IF($A30+1&gt;'(backend scoring)'!$T$335,"",$A30+1),"")</f>
        <v>7</v>
      </c>
      <c r="B31" s="216" t="e">
        <f ca="1">_xlfn.XLOOKUP($A31,'(backend scoring)'!$V$2:$V$333,'(backend scoring)'!$A$2:$A$333,"")</f>
        <v>#NAME?</v>
      </c>
      <c r="C31" s="216" t="str">
        <f ca="1">IFERROR(VLOOKUP($B31,'Institution Evaluation'!$A$55:$F$346,2,0),IFERROR(VLOOKUP($B31,'Privacy Analyst Evaluation'!$A$46:$F$120,2,0),""))&amp;""</f>
        <v/>
      </c>
      <c r="D31" s="216" t="str">
        <f ca="1">IFERROR(VLOOKUP($B31,'Institution Evaluation'!$A$55:$F$346,3,0),IFERROR(VLOOKUP($B31,'Privacy Analyst Evaluation'!$A$46:$F$120,3,0),""))&amp;""</f>
        <v/>
      </c>
      <c r="E31" s="216" t="str">
        <f ca="1">IFERROR(VLOOKUP($B31,'Institution Evaluation'!$A$55:$F$346,4,0),IFERROR(VLOOKUP($B31,'Privacy Analyst Evaluation'!$A$46:$F$120,4,0),""))&amp;""</f>
        <v/>
      </c>
      <c r="F31" s="216" t="str">
        <f ca="1">IFERROR(VLOOKUP($B31,'Institution Evaluation'!$A$55:$F$346,6,0),IFERROR(VLOOKUP($B31,'Privacy Analyst Evaluation'!$A$46:$F$120,6,0),""))&amp;""</f>
        <v/>
      </c>
      <c r="G31" s="217"/>
      <c r="H31" s="216" t="str">
        <f>IFERROR(IF($H30+1&gt;'(backend scoring)'!$Q$335,"",$H30+1),"")</f>
        <v/>
      </c>
      <c r="I31" s="216" t="e">
        <f ca="1">_xlfn.XLOOKUP($H31,'(backend scoring)'!$S$2:$S$333,'(backend scoring)'!$A$2:$A$333,"")</f>
        <v>#NAME?</v>
      </c>
      <c r="J31" s="216" t="str">
        <f ca="1">IFERROR(VLOOKUP($I31,'Institution Evaluation'!$A$55:$F$346,2,0),IFERROR(VLOOKUP($I31,'Privacy Analyst Evaluation'!$A$46:$F$120,2,0),""))</f>
        <v/>
      </c>
      <c r="K31" s="216" t="str">
        <f ca="1">IFERROR(VLOOKUP($I31,'Institution Evaluation'!$A$55:$F$346,3,0),IFERROR(VLOOKUP($I31,'Privacy Analyst Evaluation'!$A$46:$F$120,3,0),""))&amp;""</f>
        <v/>
      </c>
      <c r="L31" s="216" t="str">
        <f ca="1">IFERROR(VLOOKUP($I31,'Institution Evaluation'!$A$55:$F$346,4,0),IFERROR(VLOOKUP($I31,'Privacy Analyst Evaluation'!$A$46:$F$120,4,0),""))&amp;""</f>
        <v/>
      </c>
      <c r="M31" s="216" t="str">
        <f ca="1">IFERROR(VLOOKUP($I31,'Institution Evaluation'!$A$55:$F$346,6,0),IFERROR(VLOOKUP($I31,'Privacy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17">
      <c r="A32" s="216">
        <f>IFERROR(IF($A31+1&gt;'(backend scoring)'!$T$335,"",$A31+1),"")</f>
        <v>8</v>
      </c>
      <c r="B32" s="216" t="e">
        <f ca="1">_xlfn.XLOOKUP($A32,'(backend scoring)'!$V$2:$V$333,'(backend scoring)'!$A$2:$A$333,"")</f>
        <v>#NAME?</v>
      </c>
      <c r="C32" s="216" t="str">
        <f ca="1">IFERROR(VLOOKUP($B32,'Institution Evaluation'!$A$55:$F$346,2,0),IFERROR(VLOOKUP($B32,'Privacy Analyst Evaluation'!$A$46:$F$120,2,0),""))&amp;""</f>
        <v/>
      </c>
      <c r="D32" s="216" t="str">
        <f ca="1">IFERROR(VLOOKUP($B32,'Institution Evaluation'!$A$55:$F$346,3,0),IFERROR(VLOOKUP($B32,'Privacy Analyst Evaluation'!$A$46:$F$120,3,0),""))&amp;""</f>
        <v/>
      </c>
      <c r="E32" s="216" t="str">
        <f ca="1">IFERROR(VLOOKUP($B32,'Institution Evaluation'!$A$55:$F$346,4,0),IFERROR(VLOOKUP($B32,'Privacy Analyst Evaluation'!$A$46:$F$120,4,0),""))&amp;""</f>
        <v/>
      </c>
      <c r="F32" s="216" t="str">
        <f ca="1">IFERROR(VLOOKUP($B32,'Institution Evaluation'!$A$55:$F$346,6,0),IFERROR(VLOOKUP($B32,'Privacy Analyst Evaluation'!$A$46:$F$120,6,0),""))&amp;""</f>
        <v/>
      </c>
      <c r="G32" s="217"/>
      <c r="H32" s="216" t="str">
        <f>IFERROR(IF($H31+1&gt;'(backend scoring)'!$Q$335,"",$H31+1),"")</f>
        <v/>
      </c>
      <c r="I32" s="216" t="e">
        <f ca="1">_xlfn.XLOOKUP($H32,'(backend scoring)'!$S$2:$S$333,'(backend scoring)'!$A$2:$A$333,"")</f>
        <v>#NAME?</v>
      </c>
      <c r="J32" s="216" t="str">
        <f ca="1">IFERROR(VLOOKUP($I32,'Institution Evaluation'!$A$55:$F$346,2,0),IFERROR(VLOOKUP($I32,'Privacy Analyst Evaluation'!$A$46:$F$120,2,0),""))</f>
        <v/>
      </c>
      <c r="K32" s="216" t="str">
        <f ca="1">IFERROR(VLOOKUP($I32,'Institution Evaluation'!$A$55:$F$346,3,0),IFERROR(VLOOKUP($I32,'Privacy Analyst Evaluation'!$A$46:$F$120,3,0),""))&amp;""</f>
        <v/>
      </c>
      <c r="L32" s="216" t="str">
        <f ca="1">IFERROR(VLOOKUP($I32,'Institution Evaluation'!$A$55:$F$346,4,0),IFERROR(VLOOKUP($I32,'Privacy Analyst Evaluation'!$A$46:$F$120,4,0),""))&amp;""</f>
        <v/>
      </c>
      <c r="M32" s="216" t="str">
        <f ca="1">IFERROR(VLOOKUP($I32,'Institution Evaluation'!$A$55:$F$346,6,0),IFERROR(VLOOKUP($I32,'Privacy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17">
      <c r="A33" s="216">
        <f>IFERROR(IF($A32+1&gt;'(backend scoring)'!$T$335,"",$A32+1),"")</f>
        <v>9</v>
      </c>
      <c r="B33" s="216" t="e">
        <f ca="1">_xlfn.XLOOKUP($A33,'(backend scoring)'!$V$2:$V$333,'(backend scoring)'!$A$2:$A$333,"")</f>
        <v>#NAME?</v>
      </c>
      <c r="C33" s="216" t="str">
        <f ca="1">IFERROR(VLOOKUP($B33,'Institution Evaluation'!$A$55:$F$346,2,0),IFERROR(VLOOKUP($B33,'Privacy Analyst Evaluation'!$A$46:$F$120,2,0),""))&amp;""</f>
        <v/>
      </c>
      <c r="D33" s="216" t="str">
        <f ca="1">IFERROR(VLOOKUP($B33,'Institution Evaluation'!$A$55:$F$346,3,0),IFERROR(VLOOKUP($B33,'Privacy Analyst Evaluation'!$A$46:$F$120,3,0),""))&amp;""</f>
        <v/>
      </c>
      <c r="E33" s="216" t="str">
        <f ca="1">IFERROR(VLOOKUP($B33,'Institution Evaluation'!$A$55:$F$346,4,0),IFERROR(VLOOKUP($B33,'Privacy Analyst Evaluation'!$A$46:$F$120,4,0),""))&amp;""</f>
        <v/>
      </c>
      <c r="F33" s="216" t="str">
        <f ca="1">IFERROR(VLOOKUP($B33,'Institution Evaluation'!$A$55:$F$346,6,0),IFERROR(VLOOKUP($B33,'Privacy Analyst Evaluation'!$A$46:$F$120,6,0),""))&amp;""</f>
        <v/>
      </c>
      <c r="G33" s="217"/>
      <c r="H33" s="216" t="str">
        <f>IFERROR(IF($H32+1&gt;'(backend scoring)'!$Q$335,"",$H32+1),"")</f>
        <v/>
      </c>
      <c r="I33" s="216" t="e">
        <f ca="1">_xlfn.XLOOKUP($H33,'(backend scoring)'!$S$2:$S$333,'(backend scoring)'!$A$2:$A$333,"")</f>
        <v>#NAME?</v>
      </c>
      <c r="J33" s="216" t="str">
        <f ca="1">IFERROR(VLOOKUP($I33,'Institution Evaluation'!$A$55:$F$346,2,0),IFERROR(VLOOKUP($I33,'Privacy Analyst Evaluation'!$A$46:$F$120,2,0),""))</f>
        <v/>
      </c>
      <c r="K33" s="216" t="str">
        <f ca="1">IFERROR(VLOOKUP($I33,'Institution Evaluation'!$A$55:$F$346,3,0),IFERROR(VLOOKUP($I33,'Privacy Analyst Evaluation'!$A$46:$F$120,3,0),""))&amp;""</f>
        <v/>
      </c>
      <c r="L33" s="216" t="str">
        <f ca="1">IFERROR(VLOOKUP($I33,'Institution Evaluation'!$A$55:$F$346,4,0),IFERROR(VLOOKUP($I33,'Privacy Analyst Evaluation'!$A$46:$F$120,4,0),""))&amp;""</f>
        <v/>
      </c>
      <c r="M33" s="216" t="str">
        <f ca="1">IFERROR(VLOOKUP($I33,'Institution Evaluation'!$A$55:$F$346,6,0),IFERROR(VLOOKUP($I33,'Privacy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17">
      <c r="A34" s="216">
        <f>IFERROR(IF($A33+1&gt;'(backend scoring)'!$T$335,"",$A33+1),"")</f>
        <v>10</v>
      </c>
      <c r="B34" s="216" t="e">
        <f ca="1">_xlfn.XLOOKUP($A34,'(backend scoring)'!$V$2:$V$333,'(backend scoring)'!$A$2:$A$333,"")</f>
        <v>#NAME?</v>
      </c>
      <c r="C34" s="216" t="str">
        <f ca="1">IFERROR(VLOOKUP($B34,'Institution Evaluation'!$A$55:$F$346,2,0),IFERROR(VLOOKUP($B34,'Privacy Analyst Evaluation'!$A$46:$F$120,2,0),""))&amp;""</f>
        <v/>
      </c>
      <c r="D34" s="216" t="str">
        <f ca="1">IFERROR(VLOOKUP($B34,'Institution Evaluation'!$A$55:$F$346,3,0),IFERROR(VLOOKUP($B34,'Privacy Analyst Evaluation'!$A$46:$F$120,3,0),""))&amp;""</f>
        <v/>
      </c>
      <c r="E34" s="216" t="str">
        <f ca="1">IFERROR(VLOOKUP($B34,'Institution Evaluation'!$A$55:$F$346,4,0),IFERROR(VLOOKUP($B34,'Privacy Analyst Evaluation'!$A$46:$F$120,4,0),""))&amp;""</f>
        <v/>
      </c>
      <c r="F34" s="216" t="str">
        <f ca="1">IFERROR(VLOOKUP($B34,'Institution Evaluation'!$A$55:$F$346,6,0),IFERROR(VLOOKUP($B34,'Privacy Analyst Evaluation'!$A$46:$F$120,6,0),""))&amp;""</f>
        <v/>
      </c>
      <c r="G34" s="217"/>
      <c r="H34" s="216" t="str">
        <f>IFERROR(IF($H33+1&gt;'(backend scoring)'!$Q$335,"",$H33+1),"")</f>
        <v/>
      </c>
      <c r="I34" s="216" t="e">
        <f ca="1">_xlfn.XLOOKUP($H34,'(backend scoring)'!$S$2:$S$333,'(backend scoring)'!$A$2:$A$333,"")</f>
        <v>#NAME?</v>
      </c>
      <c r="J34" s="216" t="str">
        <f ca="1">IFERROR(VLOOKUP($I34,'Institution Evaluation'!$A$55:$F$346,2,0),IFERROR(VLOOKUP($I34,'Privacy Analyst Evaluation'!$A$46:$F$120,2,0),""))</f>
        <v/>
      </c>
      <c r="K34" s="216" t="str">
        <f ca="1">IFERROR(VLOOKUP($I34,'Institution Evaluation'!$A$55:$F$346,3,0),IFERROR(VLOOKUP($I34,'Privacy Analyst Evaluation'!$A$46:$F$120,3,0),""))&amp;""</f>
        <v/>
      </c>
      <c r="L34" s="216" t="str">
        <f ca="1">IFERROR(VLOOKUP($I34,'Institution Evaluation'!$A$55:$F$346,4,0),IFERROR(VLOOKUP($I34,'Privacy Analyst Evaluation'!$A$46:$F$120,4,0),""))&amp;""</f>
        <v/>
      </c>
      <c r="M34" s="216" t="str">
        <f ca="1">IFERROR(VLOOKUP($I34,'Institution Evaluation'!$A$55:$F$346,6,0),IFERROR(VLOOKUP($I34,'Privacy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17">
      <c r="A35" s="216">
        <f>IFERROR(IF($A34+1&gt;'(backend scoring)'!$T$335,"",$A34+1),"")</f>
        <v>11</v>
      </c>
      <c r="B35" s="216" t="e">
        <f ca="1">_xlfn.XLOOKUP($A35,'(backend scoring)'!$V$2:$V$333,'(backend scoring)'!$A$2:$A$333,"")</f>
        <v>#NAME?</v>
      </c>
      <c r="C35" s="216" t="str">
        <f ca="1">IFERROR(VLOOKUP($B35,'Institution Evaluation'!$A$55:$F$346,2,0),IFERROR(VLOOKUP($B35,'Privacy Analyst Evaluation'!$A$46:$F$120,2,0),""))&amp;""</f>
        <v/>
      </c>
      <c r="D35" s="216" t="str">
        <f ca="1">IFERROR(VLOOKUP($B35,'Institution Evaluation'!$A$55:$F$346,3,0),IFERROR(VLOOKUP($B35,'Privacy Analyst Evaluation'!$A$46:$F$120,3,0),""))&amp;""</f>
        <v/>
      </c>
      <c r="E35" s="216" t="str">
        <f ca="1">IFERROR(VLOOKUP($B35,'Institution Evaluation'!$A$55:$F$346,4,0),IFERROR(VLOOKUP($B35,'Privacy Analyst Evaluation'!$A$46:$F$120,4,0),""))&amp;""</f>
        <v/>
      </c>
      <c r="F35" s="216" t="str">
        <f ca="1">IFERROR(VLOOKUP($B35,'Institution Evaluation'!$A$55:$F$346,6,0),IFERROR(VLOOKUP($B35,'Privacy Analyst Evaluation'!$A$46:$F$120,6,0),""))&amp;""</f>
        <v/>
      </c>
      <c r="G35" s="217"/>
      <c r="H35" s="216" t="str">
        <f>IFERROR(IF($H34+1&gt;'(backend scoring)'!$Q$335,"",$H34+1),"")</f>
        <v/>
      </c>
      <c r="I35" s="216" t="e">
        <f ca="1">_xlfn.XLOOKUP($H35,'(backend scoring)'!$S$2:$S$333,'(backend scoring)'!$A$2:$A$333,"")</f>
        <v>#NAME?</v>
      </c>
      <c r="J35" s="216" t="str">
        <f ca="1">IFERROR(VLOOKUP($I35,'Institution Evaluation'!$A$55:$F$346,2,0),IFERROR(VLOOKUP($I35,'Privacy Analyst Evaluation'!$A$46:$F$120,2,0),""))</f>
        <v/>
      </c>
      <c r="K35" s="216" t="str">
        <f ca="1">IFERROR(VLOOKUP($I35,'Institution Evaluation'!$A$55:$F$346,3,0),IFERROR(VLOOKUP($I35,'Privacy Analyst Evaluation'!$A$46:$F$120,3,0),""))&amp;""</f>
        <v/>
      </c>
      <c r="L35" s="216" t="str">
        <f ca="1">IFERROR(VLOOKUP($I35,'Institution Evaluation'!$A$55:$F$346,4,0),IFERROR(VLOOKUP($I35,'Privacy Analyst Evaluation'!$A$46:$F$120,4,0),""))&amp;""</f>
        <v/>
      </c>
      <c r="M35" s="216" t="str">
        <f ca="1">IFERROR(VLOOKUP($I35,'Institution Evaluation'!$A$55:$F$346,6,0),IFERROR(VLOOKUP($I35,'Privacy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17">
      <c r="A36" s="216">
        <f>IFERROR(IF($A35+1&gt;'(backend scoring)'!$T$335,"",$A35+1),"")</f>
        <v>12</v>
      </c>
      <c r="B36" s="216" t="e">
        <f ca="1">_xlfn.XLOOKUP($A36,'(backend scoring)'!$V$2:$V$333,'(backend scoring)'!$A$2:$A$333,"")</f>
        <v>#NAME?</v>
      </c>
      <c r="C36" s="216" t="str">
        <f ca="1">IFERROR(VLOOKUP($B36,'Institution Evaluation'!$A$55:$F$346,2,0),IFERROR(VLOOKUP($B36,'Privacy Analyst Evaluation'!$A$46:$F$120,2,0),""))&amp;""</f>
        <v/>
      </c>
      <c r="D36" s="216" t="str">
        <f ca="1">IFERROR(VLOOKUP($B36,'Institution Evaluation'!$A$55:$F$346,3,0),IFERROR(VLOOKUP($B36,'Privacy Analyst Evaluation'!$A$46:$F$120,3,0),""))&amp;""</f>
        <v/>
      </c>
      <c r="E36" s="216" t="str">
        <f ca="1">IFERROR(VLOOKUP($B36,'Institution Evaluation'!$A$55:$F$346,4,0),IFERROR(VLOOKUP($B36,'Privacy Analyst Evaluation'!$A$46:$F$120,4,0),""))&amp;""</f>
        <v/>
      </c>
      <c r="F36" s="216" t="str">
        <f ca="1">IFERROR(VLOOKUP($B36,'Institution Evaluation'!$A$55:$F$346,6,0),IFERROR(VLOOKUP($B36,'Privacy Analyst Evaluation'!$A$46:$F$120,6,0),""))&amp;""</f>
        <v/>
      </c>
      <c r="G36" s="217"/>
      <c r="H36" s="216" t="str">
        <f>IFERROR(IF($H35+1&gt;'(backend scoring)'!$Q$335,"",$H35+1),"")</f>
        <v/>
      </c>
      <c r="I36" s="216" t="e">
        <f ca="1">_xlfn.XLOOKUP($H36,'(backend scoring)'!$S$2:$S$333,'(backend scoring)'!$A$2:$A$333,"")</f>
        <v>#NAME?</v>
      </c>
      <c r="J36" s="216" t="str">
        <f ca="1">IFERROR(VLOOKUP($I36,'Institution Evaluation'!$A$55:$F$346,2,0),IFERROR(VLOOKUP($I36,'Privacy Analyst Evaluation'!$A$46:$F$120,2,0),""))</f>
        <v/>
      </c>
      <c r="K36" s="216" t="str">
        <f ca="1">IFERROR(VLOOKUP($I36,'Institution Evaluation'!$A$55:$F$346,3,0),IFERROR(VLOOKUP($I36,'Privacy Analyst Evaluation'!$A$46:$F$120,3,0),""))&amp;""</f>
        <v/>
      </c>
      <c r="L36" s="216" t="str">
        <f ca="1">IFERROR(VLOOKUP($I36,'Institution Evaluation'!$A$55:$F$346,4,0),IFERROR(VLOOKUP($I36,'Privacy Analyst Evaluation'!$A$46:$F$120,4,0),""))&amp;""</f>
        <v/>
      </c>
      <c r="M36" s="216" t="str">
        <f ca="1">IFERROR(VLOOKUP($I36,'Institution Evaluation'!$A$55:$F$346,6,0),IFERROR(VLOOKUP($I36,'Privacy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17">
      <c r="A37" s="216">
        <f>IFERROR(IF($A36+1&gt;'(backend scoring)'!$T$335,"",$A36+1),"")</f>
        <v>13</v>
      </c>
      <c r="B37" s="216" t="e">
        <f ca="1">_xlfn.XLOOKUP($A37,'(backend scoring)'!$V$2:$V$333,'(backend scoring)'!$A$2:$A$333,"")</f>
        <v>#NAME?</v>
      </c>
      <c r="C37" s="216" t="str">
        <f ca="1">IFERROR(VLOOKUP($B37,'Institution Evaluation'!$A$55:$F$346,2,0),IFERROR(VLOOKUP($B37,'Privacy Analyst Evaluation'!$A$46:$F$120,2,0),""))&amp;""</f>
        <v/>
      </c>
      <c r="D37" s="216" t="str">
        <f ca="1">IFERROR(VLOOKUP($B37,'Institution Evaluation'!$A$55:$F$346,3,0),IFERROR(VLOOKUP($B37,'Privacy Analyst Evaluation'!$A$46:$F$120,3,0),""))&amp;""</f>
        <v/>
      </c>
      <c r="E37" s="216" t="str">
        <f ca="1">IFERROR(VLOOKUP($B37,'Institution Evaluation'!$A$55:$F$346,4,0),IFERROR(VLOOKUP($B37,'Privacy Analyst Evaluation'!$A$46:$F$120,4,0),""))&amp;""</f>
        <v/>
      </c>
      <c r="F37" s="216" t="str">
        <f ca="1">IFERROR(VLOOKUP($B37,'Institution Evaluation'!$A$55:$F$346,6,0),IFERROR(VLOOKUP($B37,'Privacy Analyst Evaluation'!$A$46:$F$120,6,0),""))&amp;""</f>
        <v/>
      </c>
      <c r="G37" s="217"/>
      <c r="H37" s="216" t="str">
        <f>IFERROR(IF($H36+1&gt;'(backend scoring)'!$Q$335,"",$H36+1),"")</f>
        <v/>
      </c>
      <c r="I37" s="216" t="e">
        <f ca="1">_xlfn.XLOOKUP($H37,'(backend scoring)'!$S$2:$S$333,'(backend scoring)'!$A$2:$A$333,"")</f>
        <v>#NAME?</v>
      </c>
      <c r="J37" s="216" t="str">
        <f ca="1">IFERROR(VLOOKUP($I37,'Institution Evaluation'!$A$55:$F$346,2,0),IFERROR(VLOOKUP($I37,'Privacy Analyst Evaluation'!$A$46:$F$120,2,0),""))</f>
        <v/>
      </c>
      <c r="K37" s="216" t="str">
        <f ca="1">IFERROR(VLOOKUP($I37,'Institution Evaluation'!$A$55:$F$346,3,0),IFERROR(VLOOKUP($I37,'Privacy Analyst Evaluation'!$A$46:$F$120,3,0),""))&amp;""</f>
        <v/>
      </c>
      <c r="L37" s="216" t="str">
        <f ca="1">IFERROR(VLOOKUP($I37,'Institution Evaluation'!$A$55:$F$346,4,0),IFERROR(VLOOKUP($I37,'Privacy Analyst Evaluation'!$A$46:$F$120,4,0),""))&amp;""</f>
        <v/>
      </c>
      <c r="M37" s="216" t="str">
        <f ca="1">IFERROR(VLOOKUP($I37,'Institution Evaluation'!$A$55:$F$346,6,0),IFERROR(VLOOKUP($I37,'Privacy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c r="A38" s="216">
        <f>IFERROR(IF($A37+1&gt;'(backend scoring)'!$T$335,"",$A37+1),"")</f>
        <v>14</v>
      </c>
      <c r="B38" s="216" t="e">
        <f ca="1">_xlfn.XLOOKUP($A38,'(backend scoring)'!$V$2:$V$333,'(backend scoring)'!$A$2:$A$333,"")</f>
        <v>#NAME?</v>
      </c>
      <c r="C38" s="216" t="str">
        <f ca="1">IFERROR(VLOOKUP($B38,'Institution Evaluation'!$A$55:$F$346,2,0),IFERROR(VLOOKUP($B38,'Privacy Analyst Evaluation'!$A$46:$F$120,2,0),""))&amp;""</f>
        <v/>
      </c>
      <c r="D38" s="216" t="str">
        <f ca="1">IFERROR(VLOOKUP($B38,'Institution Evaluation'!$A$55:$F$346,3,0),IFERROR(VLOOKUP($B38,'Privacy Analyst Evaluation'!$A$46:$F$120,3,0),""))&amp;""</f>
        <v/>
      </c>
      <c r="E38" s="216" t="str">
        <f ca="1">IFERROR(VLOOKUP($B38,'Institution Evaluation'!$A$55:$F$346,4,0),IFERROR(VLOOKUP($B38,'Privacy Analyst Evaluation'!$A$46:$F$120,4,0),""))&amp;""</f>
        <v/>
      </c>
      <c r="F38" s="216" t="str">
        <f ca="1">IFERROR(VLOOKUP($B38,'Institution Evaluation'!$A$55:$F$346,6,0),IFERROR(VLOOKUP($B38,'Privacy Analyst Evaluation'!$A$46:$F$120,6,0),""))&amp;""</f>
        <v/>
      </c>
      <c r="G38" s="217"/>
      <c r="H38" s="216" t="str">
        <f>IFERROR(IF($H37+1&gt;'(backend scoring)'!$Q$335,"",$H37+1),"")</f>
        <v/>
      </c>
      <c r="I38" s="216" t="e">
        <f ca="1">_xlfn.XLOOKUP($H38,'(backend scoring)'!$S$2:$S$333,'(backend scoring)'!$A$2:$A$333,"")</f>
        <v>#NAME?</v>
      </c>
      <c r="J38" s="216" t="str">
        <f ca="1">IFERROR(VLOOKUP($I38,'Institution Evaluation'!$A$55:$F$346,2,0),IFERROR(VLOOKUP($I38,'Privacy Analyst Evaluation'!$A$46:$F$120,2,0),""))</f>
        <v/>
      </c>
      <c r="K38" s="216" t="str">
        <f ca="1">IFERROR(VLOOKUP($I38,'Institution Evaluation'!$A$55:$F$346,3,0),IFERROR(VLOOKUP($I38,'Privacy Analyst Evaluation'!$A$46:$F$120,3,0),""))&amp;""</f>
        <v/>
      </c>
      <c r="L38" s="216" t="str">
        <f ca="1">IFERROR(VLOOKUP($I38,'Institution Evaluation'!$A$55:$F$346,4,0),IFERROR(VLOOKUP($I38,'Privacy Analyst Evaluation'!$A$46:$F$120,4,0),""))&amp;""</f>
        <v/>
      </c>
      <c r="M38" s="216" t="str">
        <f ca="1">IFERROR(VLOOKUP($I38,'Institution Evaluation'!$A$55:$F$346,6,0),IFERROR(VLOOKUP($I38,'Privacy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17">
      <c r="A39" s="216">
        <f>IFERROR(IF($A38+1&gt;'(backend scoring)'!$T$335,"",$A38+1),"")</f>
        <v>15</v>
      </c>
      <c r="B39" s="216" t="e">
        <f ca="1">_xlfn.XLOOKUP($A39,'(backend scoring)'!$V$2:$V$333,'(backend scoring)'!$A$2:$A$333,"")</f>
        <v>#NAME?</v>
      </c>
      <c r="C39" s="216" t="str">
        <f ca="1">IFERROR(VLOOKUP($B39,'Institution Evaluation'!$A$55:$F$346,2,0),IFERROR(VLOOKUP($B39,'Privacy Analyst Evaluation'!$A$46:$F$120,2,0),""))&amp;""</f>
        <v/>
      </c>
      <c r="D39" s="216" t="str">
        <f ca="1">IFERROR(VLOOKUP($B39,'Institution Evaluation'!$A$55:$F$346,3,0),IFERROR(VLOOKUP($B39,'Privacy Analyst Evaluation'!$A$46:$F$120,3,0),""))&amp;""</f>
        <v/>
      </c>
      <c r="E39" s="216" t="str">
        <f ca="1">IFERROR(VLOOKUP($B39,'Institution Evaluation'!$A$55:$F$346,4,0),IFERROR(VLOOKUP($B39,'Privacy Analyst Evaluation'!$A$46:$F$120,4,0),""))&amp;""</f>
        <v/>
      </c>
      <c r="F39" s="216" t="str">
        <f ca="1">IFERROR(VLOOKUP($B39,'Institution Evaluation'!$A$55:$F$346,6,0),IFERROR(VLOOKUP($B39,'Privacy Analyst Evaluation'!$A$46:$F$120,6,0),""))&amp;""</f>
        <v/>
      </c>
      <c r="G39" s="217"/>
      <c r="H39" s="216" t="str">
        <f>IFERROR(IF($H38+1&gt;'(backend scoring)'!$Q$335,"",$H38+1),"")</f>
        <v/>
      </c>
      <c r="I39" s="216" t="e">
        <f ca="1">_xlfn.XLOOKUP($H39,'(backend scoring)'!$S$2:$S$333,'(backend scoring)'!$A$2:$A$333,"")</f>
        <v>#NAME?</v>
      </c>
      <c r="J39" s="216" t="str">
        <f ca="1">IFERROR(VLOOKUP($I39,'Institution Evaluation'!$A$55:$F$346,2,0),IFERROR(VLOOKUP($I39,'Privacy Analyst Evaluation'!$A$46:$F$120,2,0),""))</f>
        <v/>
      </c>
      <c r="K39" s="216" t="str">
        <f ca="1">IFERROR(VLOOKUP($I39,'Institution Evaluation'!$A$55:$F$346,3,0),IFERROR(VLOOKUP($I39,'Privacy Analyst Evaluation'!$A$46:$F$120,3,0),""))&amp;""</f>
        <v/>
      </c>
      <c r="L39" s="216" t="str">
        <f ca="1">IFERROR(VLOOKUP($I39,'Institution Evaluation'!$A$55:$F$346,4,0),IFERROR(VLOOKUP($I39,'Privacy Analyst Evaluation'!$A$46:$F$120,4,0),""))&amp;""</f>
        <v/>
      </c>
      <c r="M39" s="216" t="str">
        <f ca="1">IFERROR(VLOOKUP($I39,'Institution Evaluation'!$A$55:$F$346,6,0),IFERROR(VLOOKUP($I39,'Privacy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17">
      <c r="A40" s="216">
        <f>IFERROR(IF($A39+1&gt;'(backend scoring)'!$T$335,"",$A39+1),"")</f>
        <v>16</v>
      </c>
      <c r="B40" s="216" t="e">
        <f ca="1">_xlfn.XLOOKUP($A40,'(backend scoring)'!$V$2:$V$333,'(backend scoring)'!$A$2:$A$333,"")</f>
        <v>#NAME?</v>
      </c>
      <c r="C40" s="216" t="str">
        <f ca="1">IFERROR(VLOOKUP($B40,'Institution Evaluation'!$A$55:$F$346,2,0),IFERROR(VLOOKUP($B40,'Privacy Analyst Evaluation'!$A$46:$F$120,2,0),""))&amp;""</f>
        <v/>
      </c>
      <c r="D40" s="216" t="str">
        <f ca="1">IFERROR(VLOOKUP($B40,'Institution Evaluation'!$A$55:$F$346,3,0),IFERROR(VLOOKUP($B40,'Privacy Analyst Evaluation'!$A$46:$F$120,3,0),""))&amp;""</f>
        <v/>
      </c>
      <c r="E40" s="216" t="str">
        <f ca="1">IFERROR(VLOOKUP($B40,'Institution Evaluation'!$A$55:$F$346,4,0),IFERROR(VLOOKUP($B40,'Privacy Analyst Evaluation'!$A$46:$F$120,4,0),""))&amp;""</f>
        <v/>
      </c>
      <c r="F40" s="216" t="str">
        <f ca="1">IFERROR(VLOOKUP($B40,'Institution Evaluation'!$A$55:$F$346,6,0),IFERROR(VLOOKUP($B40,'Privacy Analyst Evaluation'!$A$46:$F$120,6,0),""))&amp;""</f>
        <v/>
      </c>
      <c r="G40" s="217"/>
      <c r="H40" s="216" t="str">
        <f>IFERROR(IF($H39+1&gt;'(backend scoring)'!$Q$335,"",$H39+1),"")</f>
        <v/>
      </c>
      <c r="I40" s="216" t="e">
        <f ca="1">_xlfn.XLOOKUP($H40,'(backend scoring)'!$S$2:$S$333,'(backend scoring)'!$A$2:$A$333,"")</f>
        <v>#NAME?</v>
      </c>
      <c r="J40" s="216" t="str">
        <f ca="1">IFERROR(VLOOKUP($I40,'Institution Evaluation'!$A$55:$F$346,2,0),IFERROR(VLOOKUP($I40,'Privacy Analyst Evaluation'!$A$46:$F$120,2,0),""))</f>
        <v/>
      </c>
      <c r="K40" s="216" t="str">
        <f ca="1">IFERROR(VLOOKUP($I40,'Institution Evaluation'!$A$55:$F$346,3,0),IFERROR(VLOOKUP($I40,'Privacy Analyst Evaluation'!$A$46:$F$120,3,0),""))&amp;""</f>
        <v/>
      </c>
      <c r="L40" s="216" t="str">
        <f ca="1">IFERROR(VLOOKUP($I40,'Institution Evaluation'!$A$55:$F$346,4,0),IFERROR(VLOOKUP($I40,'Privacy Analyst Evaluation'!$A$46:$F$120,4,0),""))&amp;""</f>
        <v/>
      </c>
      <c r="M40" s="216" t="str">
        <f ca="1">IFERROR(VLOOKUP($I40,'Institution Evaluation'!$A$55:$F$346,6,0),IFERROR(VLOOKUP($I40,'Privacy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17">
      <c r="A41" s="216">
        <f>IFERROR(IF($A40+1&gt;'(backend scoring)'!$T$335,"",$A40+1),"")</f>
        <v>17</v>
      </c>
      <c r="B41" s="216" t="e">
        <f ca="1">_xlfn.XLOOKUP($A41,'(backend scoring)'!$V$2:$V$333,'(backend scoring)'!$A$2:$A$333,"")</f>
        <v>#NAME?</v>
      </c>
      <c r="C41" s="216" t="str">
        <f ca="1">IFERROR(VLOOKUP($B41,'Institution Evaluation'!$A$55:$F$346,2,0),IFERROR(VLOOKUP($B41,'Privacy Analyst Evaluation'!$A$46:$F$120,2,0),""))&amp;""</f>
        <v/>
      </c>
      <c r="D41" s="216" t="str">
        <f ca="1">IFERROR(VLOOKUP($B41,'Institution Evaluation'!$A$55:$F$346,3,0),IFERROR(VLOOKUP($B41,'Privacy Analyst Evaluation'!$A$46:$F$120,3,0),""))&amp;""</f>
        <v/>
      </c>
      <c r="E41" s="216" t="str">
        <f ca="1">IFERROR(VLOOKUP($B41,'Institution Evaluation'!$A$55:$F$346,4,0),IFERROR(VLOOKUP($B41,'Privacy Analyst Evaluation'!$A$46:$F$120,4,0),""))&amp;""</f>
        <v/>
      </c>
      <c r="F41" s="216" t="str">
        <f ca="1">IFERROR(VLOOKUP($B41,'Institution Evaluation'!$A$55:$F$346,6,0),IFERROR(VLOOKUP($B41,'Privacy Analyst Evaluation'!$A$46:$F$120,6,0),""))&amp;""</f>
        <v/>
      </c>
      <c r="G41" s="217"/>
      <c r="H41" s="216" t="str">
        <f>IFERROR(IF($H40+1&gt;'(backend scoring)'!$Q$335,"",$H40+1),"")</f>
        <v/>
      </c>
      <c r="I41" s="216" t="e">
        <f ca="1">_xlfn.XLOOKUP($H41,'(backend scoring)'!$S$2:$S$333,'(backend scoring)'!$A$2:$A$333,"")</f>
        <v>#NAME?</v>
      </c>
      <c r="J41" s="216" t="str">
        <f ca="1">IFERROR(VLOOKUP($I41,'Institution Evaluation'!$A$55:$F$346,2,0),IFERROR(VLOOKUP($I41,'Privacy Analyst Evaluation'!$A$46:$F$120,2,0),""))</f>
        <v/>
      </c>
      <c r="K41" s="216" t="str">
        <f ca="1">IFERROR(VLOOKUP($I41,'Institution Evaluation'!$A$55:$F$346,3,0),IFERROR(VLOOKUP($I41,'Privacy Analyst Evaluation'!$A$46:$F$120,3,0),""))&amp;""</f>
        <v/>
      </c>
      <c r="L41" s="216" t="str">
        <f ca="1">IFERROR(VLOOKUP($I41,'Institution Evaluation'!$A$55:$F$346,4,0),IFERROR(VLOOKUP($I41,'Privacy Analyst Evaluation'!$A$46:$F$120,4,0),""))&amp;""</f>
        <v/>
      </c>
      <c r="M41" s="216" t="str">
        <f ca="1">IFERROR(VLOOKUP($I41,'Institution Evaluation'!$A$55:$F$346,6,0),IFERROR(VLOOKUP($I41,'Privacy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17">
      <c r="A42" s="216">
        <f>IFERROR(IF($A41+1&gt;'(backend scoring)'!$T$335,"",$A41+1),"")</f>
        <v>18</v>
      </c>
      <c r="B42" s="216" t="e">
        <f ca="1">_xlfn.XLOOKUP($A42,'(backend scoring)'!$V$2:$V$333,'(backend scoring)'!$A$2:$A$333,"")</f>
        <v>#NAME?</v>
      </c>
      <c r="C42" s="216" t="str">
        <f ca="1">IFERROR(VLOOKUP($B42,'Institution Evaluation'!$A$55:$F$346,2,0),IFERROR(VLOOKUP($B42,'Privacy Analyst Evaluation'!$A$46:$F$120,2,0),""))&amp;""</f>
        <v/>
      </c>
      <c r="D42" s="216" t="str">
        <f ca="1">IFERROR(VLOOKUP($B42,'Institution Evaluation'!$A$55:$F$346,3,0),IFERROR(VLOOKUP($B42,'Privacy Analyst Evaluation'!$A$46:$F$120,3,0),""))&amp;""</f>
        <v/>
      </c>
      <c r="E42" s="216" t="str">
        <f ca="1">IFERROR(VLOOKUP($B42,'Institution Evaluation'!$A$55:$F$346,4,0),IFERROR(VLOOKUP($B42,'Privacy Analyst Evaluation'!$A$46:$F$120,4,0),""))&amp;""</f>
        <v/>
      </c>
      <c r="F42" s="216" t="str">
        <f ca="1">IFERROR(VLOOKUP($B42,'Institution Evaluation'!$A$55:$F$346,6,0),IFERROR(VLOOKUP($B42,'Privacy Analyst Evaluation'!$A$46:$F$120,6,0),""))&amp;""</f>
        <v/>
      </c>
      <c r="G42" s="217"/>
      <c r="H42" s="216" t="str">
        <f>IFERROR(IF($H41+1&gt;'(backend scoring)'!$Q$335,"",$H41+1),"")</f>
        <v/>
      </c>
      <c r="I42" s="216" t="e">
        <f ca="1">_xlfn.XLOOKUP($H42,'(backend scoring)'!$S$2:$S$333,'(backend scoring)'!$A$2:$A$333,"")</f>
        <v>#NAME?</v>
      </c>
      <c r="J42" s="216" t="str">
        <f ca="1">IFERROR(VLOOKUP($I42,'Institution Evaluation'!$A$55:$F$346,2,0),IFERROR(VLOOKUP($I42,'Privacy Analyst Evaluation'!$A$46:$F$120,2,0),""))</f>
        <v/>
      </c>
      <c r="K42" s="216" t="str">
        <f ca="1">IFERROR(VLOOKUP($I42,'Institution Evaluation'!$A$55:$F$346,3,0),IFERROR(VLOOKUP($I42,'Privacy Analyst Evaluation'!$A$46:$F$120,3,0),""))&amp;""</f>
        <v/>
      </c>
      <c r="L42" s="216" t="str">
        <f ca="1">IFERROR(VLOOKUP($I42,'Institution Evaluation'!$A$55:$F$346,4,0),IFERROR(VLOOKUP($I42,'Privacy Analyst Evaluation'!$A$46:$F$120,4,0),""))&amp;""</f>
        <v/>
      </c>
      <c r="M42" s="216" t="str">
        <f ca="1">IFERROR(VLOOKUP($I42,'Institution Evaluation'!$A$55:$F$346,6,0),IFERROR(VLOOKUP($I42,'Privacy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17">
      <c r="A43" s="216">
        <f>IFERROR(IF($A42+1&gt;'(backend scoring)'!$T$335,"",$A42+1),"")</f>
        <v>19</v>
      </c>
      <c r="B43" s="216" t="e">
        <f ca="1">_xlfn.XLOOKUP($A43,'(backend scoring)'!$V$2:$V$333,'(backend scoring)'!$A$2:$A$333,"")</f>
        <v>#NAME?</v>
      </c>
      <c r="C43" s="216" t="str">
        <f ca="1">IFERROR(VLOOKUP($B43,'Institution Evaluation'!$A$55:$F$346,2,0),IFERROR(VLOOKUP($B43,'Privacy Analyst Evaluation'!$A$46:$F$120,2,0),""))&amp;""</f>
        <v/>
      </c>
      <c r="D43" s="216" t="str">
        <f ca="1">IFERROR(VLOOKUP($B43,'Institution Evaluation'!$A$55:$F$346,3,0),IFERROR(VLOOKUP($B43,'Privacy Analyst Evaluation'!$A$46:$F$120,3,0),""))&amp;""</f>
        <v/>
      </c>
      <c r="E43" s="216" t="str">
        <f ca="1">IFERROR(VLOOKUP($B43,'Institution Evaluation'!$A$55:$F$346,4,0),IFERROR(VLOOKUP($B43,'Privacy Analyst Evaluation'!$A$46:$F$120,4,0),""))&amp;""</f>
        <v/>
      </c>
      <c r="F43" s="216" t="str">
        <f ca="1">IFERROR(VLOOKUP($B43,'Institution Evaluation'!$A$55:$F$346,6,0),IFERROR(VLOOKUP($B43,'Privacy Analyst Evaluation'!$A$46:$F$120,6,0),""))&amp;""</f>
        <v/>
      </c>
      <c r="G43" s="217"/>
      <c r="H43" s="216" t="str">
        <f>IFERROR(IF($H42+1&gt;'(backend scoring)'!$Q$335,"",$H42+1),"")</f>
        <v/>
      </c>
      <c r="I43" s="216" t="e">
        <f ca="1">_xlfn.XLOOKUP($H43,'(backend scoring)'!$S$2:$S$333,'(backend scoring)'!$A$2:$A$333,"")</f>
        <v>#NAME?</v>
      </c>
      <c r="J43" s="216" t="str">
        <f ca="1">IFERROR(VLOOKUP($I43,'Institution Evaluation'!$A$55:$F$346,2,0),IFERROR(VLOOKUP($I43,'Privacy Analyst Evaluation'!$A$46:$F$120,2,0),""))</f>
        <v/>
      </c>
      <c r="K43" s="216" t="str">
        <f ca="1">IFERROR(VLOOKUP($I43,'Institution Evaluation'!$A$55:$F$346,3,0),IFERROR(VLOOKUP($I43,'Privacy Analyst Evaluation'!$A$46:$F$120,3,0),""))&amp;""</f>
        <v/>
      </c>
      <c r="L43" s="216" t="str">
        <f ca="1">IFERROR(VLOOKUP($I43,'Institution Evaluation'!$A$55:$F$346,4,0),IFERROR(VLOOKUP($I43,'Privacy Analyst Evaluation'!$A$46:$F$120,4,0),""))&amp;""</f>
        <v/>
      </c>
      <c r="M43" s="216" t="str">
        <f ca="1">IFERROR(VLOOKUP($I43,'Institution Evaluation'!$A$55:$F$346,6,0),IFERROR(VLOOKUP($I43,'Privacy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17">
      <c r="A44" s="216">
        <f>IFERROR(IF($A43+1&gt;'(backend scoring)'!$T$335,"",$A43+1),"")</f>
        <v>20</v>
      </c>
      <c r="B44" s="216" t="e">
        <f ca="1">_xlfn.XLOOKUP($A44,'(backend scoring)'!$V$2:$V$333,'(backend scoring)'!$A$2:$A$333,"")</f>
        <v>#NAME?</v>
      </c>
      <c r="C44" s="216" t="str">
        <f ca="1">IFERROR(VLOOKUP($B44,'Institution Evaluation'!$A$55:$F$346,2,0),IFERROR(VLOOKUP($B44,'Privacy Analyst Evaluation'!$A$46:$F$120,2,0),""))&amp;""</f>
        <v/>
      </c>
      <c r="D44" s="216" t="str">
        <f ca="1">IFERROR(VLOOKUP($B44,'Institution Evaluation'!$A$55:$F$346,3,0),IFERROR(VLOOKUP($B44,'Privacy Analyst Evaluation'!$A$46:$F$120,3,0),""))&amp;""</f>
        <v/>
      </c>
      <c r="E44" s="216" t="str">
        <f ca="1">IFERROR(VLOOKUP($B44,'Institution Evaluation'!$A$55:$F$346,4,0),IFERROR(VLOOKUP($B44,'Privacy Analyst Evaluation'!$A$46:$F$120,4,0),""))&amp;""</f>
        <v/>
      </c>
      <c r="F44" s="216" t="str">
        <f ca="1">IFERROR(VLOOKUP($B44,'Institution Evaluation'!$A$55:$F$346,6,0),IFERROR(VLOOKUP($B44,'Privacy Analyst Evaluation'!$A$46:$F$120,6,0),""))&amp;""</f>
        <v/>
      </c>
      <c r="G44" s="217"/>
      <c r="H44" s="216" t="str">
        <f>IFERROR(IF($H43+1&gt;'(backend scoring)'!$Q$335,"",$H43+1),"")</f>
        <v/>
      </c>
      <c r="I44" s="216" t="e">
        <f ca="1">_xlfn.XLOOKUP($H44,'(backend scoring)'!$S$2:$S$333,'(backend scoring)'!$A$2:$A$333,"")</f>
        <v>#NAME?</v>
      </c>
      <c r="J44" s="216" t="str">
        <f ca="1">IFERROR(VLOOKUP($I44,'Institution Evaluation'!$A$55:$F$346,2,0),IFERROR(VLOOKUP($I44,'Privacy Analyst Evaluation'!$A$46:$F$120,2,0),""))</f>
        <v/>
      </c>
      <c r="K44" s="216" t="str">
        <f ca="1">IFERROR(VLOOKUP($I44,'Institution Evaluation'!$A$55:$F$346,3,0),IFERROR(VLOOKUP($I44,'Privacy Analyst Evaluation'!$A$46:$F$120,3,0),""))&amp;""</f>
        <v/>
      </c>
      <c r="L44" s="216" t="str">
        <f ca="1">IFERROR(VLOOKUP($I44,'Institution Evaluation'!$A$55:$F$346,4,0),IFERROR(VLOOKUP($I44,'Privacy Analyst Evaluation'!$A$46:$F$120,4,0),""))&amp;""</f>
        <v/>
      </c>
      <c r="M44" s="216" t="str">
        <f ca="1">IFERROR(VLOOKUP($I44,'Institution Evaluation'!$A$55:$F$346,6,0),IFERROR(VLOOKUP($I44,'Privacy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17">
      <c r="A45" s="216">
        <f>IFERROR(IF($A44+1&gt;'(backend scoring)'!$T$335,"",$A44+1),"")</f>
        <v>21</v>
      </c>
      <c r="B45" s="216" t="e">
        <f ca="1">_xlfn.XLOOKUP($A45,'(backend scoring)'!$V$2:$V$333,'(backend scoring)'!$A$2:$A$333,"")</f>
        <v>#NAME?</v>
      </c>
      <c r="C45" s="216" t="str">
        <f ca="1">IFERROR(VLOOKUP($B45,'Institution Evaluation'!$A$55:$F$346,2,0),IFERROR(VLOOKUP($B45,'Privacy Analyst Evaluation'!$A$46:$F$120,2,0),""))&amp;""</f>
        <v/>
      </c>
      <c r="D45" s="216" t="str">
        <f ca="1">IFERROR(VLOOKUP($B45,'Institution Evaluation'!$A$55:$F$346,3,0),IFERROR(VLOOKUP($B45,'Privacy Analyst Evaluation'!$A$46:$F$120,3,0),""))&amp;""</f>
        <v/>
      </c>
      <c r="E45" s="216" t="str">
        <f ca="1">IFERROR(VLOOKUP($B45,'Institution Evaluation'!$A$55:$F$346,4,0),IFERROR(VLOOKUP($B45,'Privacy Analyst Evaluation'!$A$46:$F$120,4,0),""))&amp;""</f>
        <v/>
      </c>
      <c r="F45" s="216" t="str">
        <f ca="1">IFERROR(VLOOKUP($B45,'Institution Evaluation'!$A$55:$F$346,6,0),IFERROR(VLOOKUP($B45,'Privacy Analyst Evaluation'!$A$46:$F$120,6,0),""))&amp;""</f>
        <v/>
      </c>
      <c r="G45" s="217"/>
      <c r="H45" s="216" t="str">
        <f>IFERROR(IF($H44+1&gt;'(backend scoring)'!$Q$335,"",$H44+1),"")</f>
        <v/>
      </c>
      <c r="I45" s="216" t="e">
        <f ca="1">_xlfn.XLOOKUP($H45,'(backend scoring)'!$S$2:$S$333,'(backend scoring)'!$A$2:$A$333,"")</f>
        <v>#NAME?</v>
      </c>
      <c r="J45" s="216" t="str">
        <f ca="1">IFERROR(VLOOKUP($I45,'Institution Evaluation'!$A$55:$F$346,2,0),IFERROR(VLOOKUP($I45,'Privacy Analyst Evaluation'!$A$46:$F$120,2,0),""))</f>
        <v/>
      </c>
      <c r="K45" s="216" t="str">
        <f ca="1">IFERROR(VLOOKUP($I45,'Institution Evaluation'!$A$55:$F$346,3,0),IFERROR(VLOOKUP($I45,'Privacy Analyst Evaluation'!$A$46:$F$120,3,0),""))&amp;""</f>
        <v/>
      </c>
      <c r="L45" s="216" t="str">
        <f ca="1">IFERROR(VLOOKUP($I45,'Institution Evaluation'!$A$55:$F$346,4,0),IFERROR(VLOOKUP($I45,'Privacy Analyst Evaluation'!$A$46:$F$120,4,0),""))&amp;""</f>
        <v/>
      </c>
      <c r="M45" s="216" t="str">
        <f ca="1">IFERROR(VLOOKUP($I45,'Institution Evaluation'!$A$55:$F$346,6,0),IFERROR(VLOOKUP($I45,'Privacy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17">
      <c r="A46" s="216">
        <f>IFERROR(IF($A45+1&gt;'(backend scoring)'!$T$335,"",$A45+1),"")</f>
        <v>22</v>
      </c>
      <c r="B46" s="216" t="e">
        <f ca="1">_xlfn.XLOOKUP($A46,'(backend scoring)'!$V$2:$V$333,'(backend scoring)'!$A$2:$A$333,"")</f>
        <v>#NAME?</v>
      </c>
      <c r="C46" s="216" t="str">
        <f ca="1">IFERROR(VLOOKUP($B46,'Institution Evaluation'!$A$55:$F$346,2,0),IFERROR(VLOOKUP($B46,'Privacy Analyst Evaluation'!$A$46:$F$120,2,0),""))&amp;""</f>
        <v/>
      </c>
      <c r="D46" s="216" t="str">
        <f ca="1">IFERROR(VLOOKUP($B46,'Institution Evaluation'!$A$55:$F$346,3,0),IFERROR(VLOOKUP($B46,'Privacy Analyst Evaluation'!$A$46:$F$120,3,0),""))&amp;""</f>
        <v/>
      </c>
      <c r="E46" s="216" t="str">
        <f ca="1">IFERROR(VLOOKUP($B46,'Institution Evaluation'!$A$55:$F$346,4,0),IFERROR(VLOOKUP($B46,'Privacy Analyst Evaluation'!$A$46:$F$120,4,0),""))&amp;""</f>
        <v/>
      </c>
      <c r="F46" s="216" t="str">
        <f ca="1">IFERROR(VLOOKUP($B46,'Institution Evaluation'!$A$55:$F$346,6,0),IFERROR(VLOOKUP($B46,'Privacy Analyst Evaluation'!$A$46:$F$120,6,0),""))&amp;""</f>
        <v/>
      </c>
      <c r="G46" s="217"/>
      <c r="H46" s="216" t="str">
        <f>IFERROR(IF($H45+1&gt;'(backend scoring)'!$Q$335,"",$H45+1),"")</f>
        <v/>
      </c>
      <c r="I46" s="216" t="e">
        <f ca="1">_xlfn.XLOOKUP($H46,'(backend scoring)'!$S$2:$S$333,'(backend scoring)'!$A$2:$A$333,"")</f>
        <v>#NAME?</v>
      </c>
      <c r="J46" s="216" t="str">
        <f ca="1">IFERROR(VLOOKUP($I46,'Institution Evaluation'!$A$55:$F$346,2,0),IFERROR(VLOOKUP($I46,'Privacy Analyst Evaluation'!$A$46:$F$120,2,0),""))</f>
        <v/>
      </c>
      <c r="K46" s="216" t="str">
        <f ca="1">IFERROR(VLOOKUP($I46,'Institution Evaluation'!$A$55:$F$346,3,0),IFERROR(VLOOKUP($I46,'Privacy Analyst Evaluation'!$A$46:$F$120,3,0),""))&amp;""</f>
        <v/>
      </c>
      <c r="L46" s="216" t="str">
        <f ca="1">IFERROR(VLOOKUP($I46,'Institution Evaluation'!$A$55:$F$346,4,0),IFERROR(VLOOKUP($I46,'Privacy Analyst Evaluation'!$A$46:$F$120,4,0),""))&amp;""</f>
        <v/>
      </c>
      <c r="M46" s="216" t="str">
        <f ca="1">IFERROR(VLOOKUP($I46,'Institution Evaluation'!$A$55:$F$346,6,0),IFERROR(VLOOKUP($I46,'Privacy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17">
      <c r="A47" s="216">
        <f>IFERROR(IF($A46+1&gt;'(backend scoring)'!$T$335,"",$A46+1),"")</f>
        <v>23</v>
      </c>
      <c r="B47" s="216" t="e">
        <f ca="1">_xlfn.XLOOKUP($A47,'(backend scoring)'!$V$2:$V$333,'(backend scoring)'!$A$2:$A$333,"")</f>
        <v>#NAME?</v>
      </c>
      <c r="C47" s="216" t="str">
        <f ca="1">IFERROR(VLOOKUP($B47,'Institution Evaluation'!$A$55:$F$346,2,0),IFERROR(VLOOKUP($B47,'Privacy Analyst Evaluation'!$A$46:$F$120,2,0),""))&amp;""</f>
        <v/>
      </c>
      <c r="D47" s="216" t="str">
        <f ca="1">IFERROR(VLOOKUP($B47,'Institution Evaluation'!$A$55:$F$346,3,0),IFERROR(VLOOKUP($B47,'Privacy Analyst Evaluation'!$A$46:$F$120,3,0),""))&amp;""</f>
        <v/>
      </c>
      <c r="E47" s="216" t="str">
        <f ca="1">IFERROR(VLOOKUP($B47,'Institution Evaluation'!$A$55:$F$346,4,0),IFERROR(VLOOKUP($B47,'Privacy Analyst Evaluation'!$A$46:$F$120,4,0),""))&amp;""</f>
        <v/>
      </c>
      <c r="F47" s="216" t="str">
        <f ca="1">IFERROR(VLOOKUP($B47,'Institution Evaluation'!$A$55:$F$346,6,0),IFERROR(VLOOKUP($B47,'Privacy Analyst Evaluation'!$A$46:$F$120,6,0),""))&amp;""</f>
        <v/>
      </c>
      <c r="G47" s="217"/>
      <c r="H47" s="216" t="str">
        <f>IFERROR(IF($H46+1&gt;'(backend scoring)'!$Q$335,"",$H46+1),"")</f>
        <v/>
      </c>
      <c r="I47" s="216" t="e">
        <f ca="1">_xlfn.XLOOKUP($H47,'(backend scoring)'!$S$2:$S$333,'(backend scoring)'!$A$2:$A$333,"")</f>
        <v>#NAME?</v>
      </c>
      <c r="J47" s="216" t="str">
        <f ca="1">IFERROR(VLOOKUP($I47,'Institution Evaluation'!$A$55:$F$346,2,0),IFERROR(VLOOKUP($I47,'Privacy Analyst Evaluation'!$A$46:$F$120,2,0),""))</f>
        <v/>
      </c>
      <c r="K47" s="216" t="str">
        <f ca="1">IFERROR(VLOOKUP($I47,'Institution Evaluation'!$A$55:$F$346,3,0),IFERROR(VLOOKUP($I47,'Privacy Analyst Evaluation'!$A$46:$F$120,3,0),""))&amp;""</f>
        <v/>
      </c>
      <c r="L47" s="216" t="str">
        <f ca="1">IFERROR(VLOOKUP($I47,'Institution Evaluation'!$A$55:$F$346,4,0),IFERROR(VLOOKUP($I47,'Privacy Analyst Evaluation'!$A$46:$F$120,4,0),""))&amp;""</f>
        <v/>
      </c>
      <c r="M47" s="216" t="str">
        <f ca="1">IFERROR(VLOOKUP($I47,'Institution Evaluation'!$A$55:$F$346,6,0),IFERROR(VLOOKUP($I47,'Privacy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17">
      <c r="A48" s="216">
        <f>IFERROR(IF($A47+1&gt;'(backend scoring)'!$T$335,"",$A47+1),"")</f>
        <v>24</v>
      </c>
      <c r="B48" s="216" t="e">
        <f ca="1">_xlfn.XLOOKUP($A48,'(backend scoring)'!$V$2:$V$333,'(backend scoring)'!$A$2:$A$333,"")</f>
        <v>#NAME?</v>
      </c>
      <c r="C48" s="216" t="str">
        <f ca="1">IFERROR(VLOOKUP($B48,'Institution Evaluation'!$A$55:$F$346,2,0),IFERROR(VLOOKUP($B48,'Privacy Analyst Evaluation'!$A$46:$F$120,2,0),""))&amp;""</f>
        <v/>
      </c>
      <c r="D48" s="216" t="str">
        <f ca="1">IFERROR(VLOOKUP($B48,'Institution Evaluation'!$A$55:$F$346,3,0),IFERROR(VLOOKUP($B48,'Privacy Analyst Evaluation'!$A$46:$F$120,3,0),""))&amp;""</f>
        <v/>
      </c>
      <c r="E48" s="216" t="str">
        <f ca="1">IFERROR(VLOOKUP($B48,'Institution Evaluation'!$A$55:$F$346,4,0),IFERROR(VLOOKUP($B48,'Privacy Analyst Evaluation'!$A$46:$F$120,4,0),""))&amp;""</f>
        <v/>
      </c>
      <c r="F48" s="216" t="str">
        <f ca="1">IFERROR(VLOOKUP($B48,'Institution Evaluation'!$A$55:$F$346,6,0),IFERROR(VLOOKUP($B48,'Privacy Analyst Evaluation'!$A$46:$F$120,6,0),""))&amp;""</f>
        <v/>
      </c>
      <c r="G48" s="217"/>
      <c r="H48" s="216" t="str">
        <f>IFERROR(IF($H47+1&gt;'(backend scoring)'!$Q$335,"",$H47+1),"")</f>
        <v/>
      </c>
      <c r="I48" s="216" t="e">
        <f ca="1">_xlfn.XLOOKUP($H48,'(backend scoring)'!$S$2:$S$333,'(backend scoring)'!$A$2:$A$333,"")</f>
        <v>#NAME?</v>
      </c>
      <c r="J48" s="216" t="str">
        <f ca="1">IFERROR(VLOOKUP($I48,'Institution Evaluation'!$A$55:$F$346,2,0),IFERROR(VLOOKUP($I48,'Privacy Analyst Evaluation'!$A$46:$F$120,2,0),""))</f>
        <v/>
      </c>
      <c r="K48" s="216" t="str">
        <f ca="1">IFERROR(VLOOKUP($I48,'Institution Evaluation'!$A$55:$F$346,3,0),IFERROR(VLOOKUP($I48,'Privacy Analyst Evaluation'!$A$46:$F$120,3,0),""))&amp;""</f>
        <v/>
      </c>
      <c r="L48" s="216" t="str">
        <f ca="1">IFERROR(VLOOKUP($I48,'Institution Evaluation'!$A$55:$F$346,4,0),IFERROR(VLOOKUP($I48,'Privacy Analyst Evaluation'!$A$46:$F$120,4,0),""))&amp;""</f>
        <v/>
      </c>
      <c r="M48" s="216" t="str">
        <f ca="1">IFERROR(VLOOKUP($I48,'Institution Evaluation'!$A$55:$F$346,6,0),IFERROR(VLOOKUP($I48,'Privacy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17">
      <c r="A49" s="216">
        <f>IFERROR(IF($A48+1&gt;'(backend scoring)'!$T$335,"",$A48+1),"")</f>
        <v>25</v>
      </c>
      <c r="B49" s="216" t="e">
        <f ca="1">_xlfn.XLOOKUP($A49,'(backend scoring)'!$V$2:$V$333,'(backend scoring)'!$A$2:$A$333,"")</f>
        <v>#NAME?</v>
      </c>
      <c r="C49" s="216" t="str">
        <f ca="1">IFERROR(VLOOKUP($B49,'Institution Evaluation'!$A$55:$F$346,2,0),IFERROR(VLOOKUP($B49,'Privacy Analyst Evaluation'!$A$46:$F$120,2,0),""))&amp;""</f>
        <v/>
      </c>
      <c r="D49" s="216" t="str">
        <f ca="1">IFERROR(VLOOKUP($B49,'Institution Evaluation'!$A$55:$F$346,3,0),IFERROR(VLOOKUP($B49,'Privacy Analyst Evaluation'!$A$46:$F$120,3,0),""))&amp;""</f>
        <v/>
      </c>
      <c r="E49" s="216" t="str">
        <f ca="1">IFERROR(VLOOKUP($B49,'Institution Evaluation'!$A$55:$F$346,4,0),IFERROR(VLOOKUP($B49,'Privacy Analyst Evaluation'!$A$46:$F$120,4,0),""))&amp;""</f>
        <v/>
      </c>
      <c r="F49" s="216" t="str">
        <f ca="1">IFERROR(VLOOKUP($B49,'Institution Evaluation'!$A$55:$F$346,6,0),IFERROR(VLOOKUP($B49,'Privacy Analyst Evaluation'!$A$46:$F$120,6,0),""))&amp;""</f>
        <v/>
      </c>
      <c r="G49" s="217"/>
      <c r="H49" s="216" t="str">
        <f>IFERROR(IF($H48+1&gt;'(backend scoring)'!$Q$335,"",$H48+1),"")</f>
        <v/>
      </c>
      <c r="I49" s="216" t="e">
        <f ca="1">_xlfn.XLOOKUP($H49,'(backend scoring)'!$S$2:$S$333,'(backend scoring)'!$A$2:$A$333,"")</f>
        <v>#NAME?</v>
      </c>
      <c r="J49" s="216" t="str">
        <f ca="1">IFERROR(VLOOKUP($I49,'Institution Evaluation'!$A$55:$F$346,2,0),IFERROR(VLOOKUP($I49,'Privacy Analyst Evaluation'!$A$46:$F$120,2,0),""))</f>
        <v/>
      </c>
      <c r="K49" s="216" t="str">
        <f ca="1">IFERROR(VLOOKUP($I49,'Institution Evaluation'!$A$55:$F$346,3,0),IFERROR(VLOOKUP($I49,'Privacy Analyst Evaluation'!$A$46:$F$120,3,0),""))&amp;""</f>
        <v/>
      </c>
      <c r="L49" s="216" t="str">
        <f ca="1">IFERROR(VLOOKUP($I49,'Institution Evaluation'!$A$55:$F$346,4,0),IFERROR(VLOOKUP($I49,'Privacy Analyst Evaluation'!$A$46:$F$120,4,0),""))&amp;""</f>
        <v/>
      </c>
      <c r="M49" s="216" t="str">
        <f ca="1">IFERROR(VLOOKUP($I49,'Institution Evaluation'!$A$55:$F$346,6,0),IFERROR(VLOOKUP($I49,'Privacy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17">
      <c r="A50" s="216">
        <f>IFERROR(IF($A49+1&gt;'(backend scoring)'!$T$335,"",$A49+1),"")</f>
        <v>26</v>
      </c>
      <c r="B50" s="216" t="e">
        <f ca="1">_xlfn.XLOOKUP($A50,'(backend scoring)'!$V$2:$V$333,'(backend scoring)'!$A$2:$A$333,"")</f>
        <v>#NAME?</v>
      </c>
      <c r="C50" s="216" t="str">
        <f ca="1">IFERROR(VLOOKUP($B50,'Institution Evaluation'!$A$55:$F$346,2,0),IFERROR(VLOOKUP($B50,'Privacy Analyst Evaluation'!$A$46:$F$120,2,0),""))&amp;""</f>
        <v/>
      </c>
      <c r="D50" s="216" t="str">
        <f ca="1">IFERROR(VLOOKUP($B50,'Institution Evaluation'!$A$55:$F$346,3,0),IFERROR(VLOOKUP($B50,'Privacy Analyst Evaluation'!$A$46:$F$120,3,0),""))&amp;""</f>
        <v/>
      </c>
      <c r="E50" s="216" t="str">
        <f ca="1">IFERROR(VLOOKUP($B50,'Institution Evaluation'!$A$55:$F$346,4,0),IFERROR(VLOOKUP($B50,'Privacy Analyst Evaluation'!$A$46:$F$120,4,0),""))&amp;""</f>
        <v/>
      </c>
      <c r="F50" s="216" t="str">
        <f ca="1">IFERROR(VLOOKUP($B50,'Institution Evaluation'!$A$55:$F$346,6,0),IFERROR(VLOOKUP($B50,'Privacy Analyst Evaluation'!$A$46:$F$120,6,0),""))&amp;""</f>
        <v/>
      </c>
      <c r="G50" s="217"/>
      <c r="H50" s="216" t="str">
        <f>IFERROR(IF($H49+1&gt;'(backend scoring)'!$Q$335,"",$H49+1),"")</f>
        <v/>
      </c>
      <c r="I50" s="216" t="e">
        <f ca="1">_xlfn.XLOOKUP($H50,'(backend scoring)'!$S$2:$S$333,'(backend scoring)'!$A$2:$A$333,"")</f>
        <v>#NAME?</v>
      </c>
      <c r="J50" s="216" t="str">
        <f ca="1">IFERROR(VLOOKUP($I50,'Institution Evaluation'!$A$55:$F$346,2,0),IFERROR(VLOOKUP($I50,'Privacy Analyst Evaluation'!$A$46:$F$120,2,0),""))</f>
        <v/>
      </c>
      <c r="K50" s="216" t="str">
        <f ca="1">IFERROR(VLOOKUP($I50,'Institution Evaluation'!$A$55:$F$346,3,0),IFERROR(VLOOKUP($I50,'Privacy Analyst Evaluation'!$A$46:$F$120,3,0),""))&amp;""</f>
        <v/>
      </c>
      <c r="L50" s="216" t="str">
        <f ca="1">IFERROR(VLOOKUP($I50,'Institution Evaluation'!$A$55:$F$346,4,0),IFERROR(VLOOKUP($I50,'Privacy Analyst Evaluation'!$A$46:$F$120,4,0),""))&amp;""</f>
        <v/>
      </c>
      <c r="M50" s="216" t="str">
        <f ca="1">IFERROR(VLOOKUP($I50,'Institution Evaluation'!$A$55:$F$346,6,0),IFERROR(VLOOKUP($I50,'Privacy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17">
      <c r="A51" s="216">
        <f>IFERROR(IF($A50+1&gt;'(backend scoring)'!$T$335,"",$A50+1),"")</f>
        <v>27</v>
      </c>
      <c r="B51" s="216" t="e">
        <f ca="1">_xlfn.XLOOKUP($A51,'(backend scoring)'!$V$2:$V$333,'(backend scoring)'!$A$2:$A$333,"")</f>
        <v>#NAME?</v>
      </c>
      <c r="C51" s="216" t="str">
        <f ca="1">IFERROR(VLOOKUP($B51,'Institution Evaluation'!$A$55:$F$346,2,0),IFERROR(VLOOKUP($B51,'Privacy Analyst Evaluation'!$A$46:$F$120,2,0),""))&amp;""</f>
        <v/>
      </c>
      <c r="D51" s="216" t="str">
        <f ca="1">IFERROR(VLOOKUP($B51,'Institution Evaluation'!$A$55:$F$346,3,0),IFERROR(VLOOKUP($B51,'Privacy Analyst Evaluation'!$A$46:$F$120,3,0),""))&amp;""</f>
        <v/>
      </c>
      <c r="E51" s="216" t="str">
        <f ca="1">IFERROR(VLOOKUP($B51,'Institution Evaluation'!$A$55:$F$346,4,0),IFERROR(VLOOKUP($B51,'Privacy Analyst Evaluation'!$A$46:$F$120,4,0),""))&amp;""</f>
        <v/>
      </c>
      <c r="F51" s="216" t="str">
        <f ca="1">IFERROR(VLOOKUP($B51,'Institution Evaluation'!$A$55:$F$346,6,0),IFERROR(VLOOKUP($B51,'Privacy Analyst Evaluation'!$A$46:$F$120,6,0),""))&amp;""</f>
        <v/>
      </c>
      <c r="G51" s="217"/>
      <c r="H51" s="216" t="str">
        <f>IFERROR(IF($H50+1&gt;'(backend scoring)'!$Q$335,"",$H50+1),"")</f>
        <v/>
      </c>
      <c r="I51" s="216" t="e">
        <f ca="1">_xlfn.XLOOKUP($H51,'(backend scoring)'!$S$2:$S$333,'(backend scoring)'!$A$2:$A$333,"")</f>
        <v>#NAME?</v>
      </c>
      <c r="J51" s="216" t="str">
        <f ca="1">IFERROR(VLOOKUP($I51,'Institution Evaluation'!$A$55:$F$346,2,0),IFERROR(VLOOKUP($I51,'Privacy Analyst Evaluation'!$A$46:$F$120,2,0),""))</f>
        <v/>
      </c>
      <c r="K51" s="216" t="str">
        <f ca="1">IFERROR(VLOOKUP($I51,'Institution Evaluation'!$A$55:$F$346,3,0),IFERROR(VLOOKUP($I51,'Privacy Analyst Evaluation'!$A$46:$F$120,3,0),""))&amp;""</f>
        <v/>
      </c>
      <c r="L51" s="216" t="str">
        <f ca="1">IFERROR(VLOOKUP($I51,'Institution Evaluation'!$A$55:$F$346,4,0),IFERROR(VLOOKUP($I51,'Privacy Analyst Evaluation'!$A$46:$F$120,4,0),""))&amp;""</f>
        <v/>
      </c>
      <c r="M51" s="216" t="str">
        <f ca="1">IFERROR(VLOOKUP($I51,'Institution Evaluation'!$A$55:$F$346,6,0),IFERROR(VLOOKUP($I51,'Privacy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17">
      <c r="A52" s="216">
        <f>IFERROR(IF($A51+1&gt;'(backend scoring)'!$T$335,"",$A51+1),"")</f>
        <v>28</v>
      </c>
      <c r="B52" s="216" t="e">
        <f ca="1">_xlfn.XLOOKUP($A52,'(backend scoring)'!$V$2:$V$333,'(backend scoring)'!$A$2:$A$333,"")</f>
        <v>#NAME?</v>
      </c>
      <c r="C52" s="216" t="str">
        <f ca="1">IFERROR(VLOOKUP($B52,'Institution Evaluation'!$A$55:$F$346,2,0),IFERROR(VLOOKUP($B52,'Privacy Analyst Evaluation'!$A$46:$F$120,2,0),""))&amp;""</f>
        <v/>
      </c>
      <c r="D52" s="216" t="str">
        <f ca="1">IFERROR(VLOOKUP($B52,'Institution Evaluation'!$A$55:$F$346,3,0),IFERROR(VLOOKUP($B52,'Privacy Analyst Evaluation'!$A$46:$F$120,3,0),""))&amp;""</f>
        <v/>
      </c>
      <c r="E52" s="216" t="str">
        <f ca="1">IFERROR(VLOOKUP($B52,'Institution Evaluation'!$A$55:$F$346,4,0),IFERROR(VLOOKUP($B52,'Privacy Analyst Evaluation'!$A$46:$F$120,4,0),""))&amp;""</f>
        <v/>
      </c>
      <c r="F52" s="216" t="str">
        <f ca="1">IFERROR(VLOOKUP($B52,'Institution Evaluation'!$A$55:$F$346,6,0),IFERROR(VLOOKUP($B52,'Privacy Analyst Evaluation'!$A$46:$F$120,6,0),""))&amp;""</f>
        <v/>
      </c>
      <c r="G52" s="217"/>
      <c r="H52" s="216" t="str">
        <f>IFERROR(IF($H51+1&gt;'(backend scoring)'!$Q$335,"",$H51+1),"")</f>
        <v/>
      </c>
      <c r="I52" s="216" t="e">
        <f ca="1">_xlfn.XLOOKUP($H52,'(backend scoring)'!$S$2:$S$333,'(backend scoring)'!$A$2:$A$333,"")</f>
        <v>#NAME?</v>
      </c>
      <c r="J52" s="216" t="str">
        <f ca="1">IFERROR(VLOOKUP($I52,'Institution Evaluation'!$A$55:$F$346,2,0),IFERROR(VLOOKUP($I52,'Privacy Analyst Evaluation'!$A$46:$F$120,2,0),""))</f>
        <v/>
      </c>
      <c r="K52" s="216" t="str">
        <f ca="1">IFERROR(VLOOKUP($I52,'Institution Evaluation'!$A$55:$F$346,3,0),IFERROR(VLOOKUP($I52,'Privacy Analyst Evaluation'!$A$46:$F$120,3,0),""))&amp;""</f>
        <v/>
      </c>
      <c r="L52" s="216" t="str">
        <f ca="1">IFERROR(VLOOKUP($I52,'Institution Evaluation'!$A$55:$F$346,4,0),IFERROR(VLOOKUP($I52,'Privacy Analyst Evaluation'!$A$46:$F$120,4,0),""))&amp;""</f>
        <v/>
      </c>
      <c r="M52" s="216" t="str">
        <f ca="1">IFERROR(VLOOKUP($I52,'Institution Evaluation'!$A$55:$F$346,6,0),IFERROR(VLOOKUP($I52,'Privacy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17">
      <c r="A53" s="216">
        <f>IFERROR(IF($A52+1&gt;'(backend scoring)'!$T$335,"",$A52+1),"")</f>
        <v>29</v>
      </c>
      <c r="B53" s="216" t="e">
        <f ca="1">_xlfn.XLOOKUP($A53,'(backend scoring)'!$V$2:$V$333,'(backend scoring)'!$A$2:$A$333,"")</f>
        <v>#NAME?</v>
      </c>
      <c r="C53" s="216" t="str">
        <f ca="1">IFERROR(VLOOKUP($B53,'Institution Evaluation'!$A$55:$F$346,2,0),IFERROR(VLOOKUP($B53,'Privacy Analyst Evaluation'!$A$46:$F$120,2,0),""))&amp;""</f>
        <v/>
      </c>
      <c r="D53" s="216" t="str">
        <f ca="1">IFERROR(VLOOKUP($B53,'Institution Evaluation'!$A$55:$F$346,3,0),IFERROR(VLOOKUP($B53,'Privacy Analyst Evaluation'!$A$46:$F$120,3,0),""))&amp;""</f>
        <v/>
      </c>
      <c r="E53" s="216" t="str">
        <f ca="1">IFERROR(VLOOKUP($B53,'Institution Evaluation'!$A$55:$F$346,4,0),IFERROR(VLOOKUP($B53,'Privacy Analyst Evaluation'!$A$46:$F$120,4,0),""))&amp;""</f>
        <v/>
      </c>
      <c r="F53" s="216" t="str">
        <f ca="1">IFERROR(VLOOKUP($B53,'Institution Evaluation'!$A$55:$F$346,6,0),IFERROR(VLOOKUP($B53,'Privacy Analyst Evaluation'!$A$46:$F$120,6,0),""))&amp;""</f>
        <v/>
      </c>
      <c r="G53" s="217"/>
      <c r="H53" s="216" t="str">
        <f>IFERROR(IF($H52+1&gt;'(backend scoring)'!$Q$335,"",$H52+1),"")</f>
        <v/>
      </c>
      <c r="I53" s="216" t="e">
        <f ca="1">_xlfn.XLOOKUP($H53,'(backend scoring)'!$S$2:$S$333,'(backend scoring)'!$A$2:$A$333,"")</f>
        <v>#NAME?</v>
      </c>
      <c r="J53" s="216" t="str">
        <f ca="1">IFERROR(VLOOKUP($I53,'Institution Evaluation'!$A$55:$F$346,2,0),IFERROR(VLOOKUP($I53,'Privacy Analyst Evaluation'!$A$46:$F$120,2,0),""))</f>
        <v/>
      </c>
      <c r="K53" s="216" t="str">
        <f ca="1">IFERROR(VLOOKUP($I53,'Institution Evaluation'!$A$55:$F$346,3,0),IFERROR(VLOOKUP($I53,'Privacy Analyst Evaluation'!$A$46:$F$120,3,0),""))&amp;""</f>
        <v/>
      </c>
      <c r="L53" s="216" t="str">
        <f ca="1">IFERROR(VLOOKUP($I53,'Institution Evaluation'!$A$55:$F$346,4,0),IFERROR(VLOOKUP($I53,'Privacy Analyst Evaluation'!$A$46:$F$120,4,0),""))&amp;""</f>
        <v/>
      </c>
      <c r="M53" s="216" t="str">
        <f ca="1">IFERROR(VLOOKUP($I53,'Institution Evaluation'!$A$55:$F$346,6,0),IFERROR(VLOOKUP($I53,'Privacy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17">
      <c r="A54" s="216">
        <f>IFERROR(IF($A53+1&gt;'(backend scoring)'!$T$335,"",$A53+1),"")</f>
        <v>30</v>
      </c>
      <c r="B54" s="216" t="e">
        <f ca="1">_xlfn.XLOOKUP($A54,'(backend scoring)'!$V$2:$V$333,'(backend scoring)'!$A$2:$A$333,"")</f>
        <v>#NAME?</v>
      </c>
      <c r="C54" s="216" t="str">
        <f ca="1">IFERROR(VLOOKUP($B54,'Institution Evaluation'!$A$55:$F$346,2,0),IFERROR(VLOOKUP($B54,'Privacy Analyst Evaluation'!$A$46:$F$120,2,0),""))&amp;""</f>
        <v/>
      </c>
      <c r="D54" s="216" t="str">
        <f ca="1">IFERROR(VLOOKUP($B54,'Institution Evaluation'!$A$55:$F$346,3,0),IFERROR(VLOOKUP($B54,'Privacy Analyst Evaluation'!$A$46:$F$120,3,0),""))&amp;""</f>
        <v/>
      </c>
      <c r="E54" s="216" t="str">
        <f ca="1">IFERROR(VLOOKUP($B54,'Institution Evaluation'!$A$55:$F$346,4,0),IFERROR(VLOOKUP($B54,'Privacy Analyst Evaluation'!$A$46:$F$120,4,0),""))&amp;""</f>
        <v/>
      </c>
      <c r="F54" s="216" t="str">
        <f ca="1">IFERROR(VLOOKUP($B54,'Institution Evaluation'!$A$55:$F$346,6,0),IFERROR(VLOOKUP($B54,'Privacy Analyst Evaluation'!$A$46:$F$120,6,0),""))&amp;""</f>
        <v/>
      </c>
      <c r="G54" s="217"/>
      <c r="H54" s="216" t="str">
        <f>IFERROR(IF($H53+1&gt;'(backend scoring)'!$Q$335,"",$H53+1),"")</f>
        <v/>
      </c>
      <c r="I54" s="216" t="e">
        <f ca="1">_xlfn.XLOOKUP($H54,'(backend scoring)'!$S$2:$S$333,'(backend scoring)'!$A$2:$A$333,"")</f>
        <v>#NAME?</v>
      </c>
      <c r="J54" s="216" t="str">
        <f ca="1">IFERROR(VLOOKUP($I54,'Institution Evaluation'!$A$55:$F$346,2,0),IFERROR(VLOOKUP($I54,'Privacy Analyst Evaluation'!$A$46:$F$120,2,0),""))</f>
        <v/>
      </c>
      <c r="K54" s="216" t="str">
        <f ca="1">IFERROR(VLOOKUP($I54,'Institution Evaluation'!$A$55:$F$346,3,0),IFERROR(VLOOKUP($I54,'Privacy Analyst Evaluation'!$A$46:$F$120,3,0),""))&amp;""</f>
        <v/>
      </c>
      <c r="L54" s="216" t="str">
        <f ca="1">IFERROR(VLOOKUP($I54,'Institution Evaluation'!$A$55:$F$346,4,0),IFERROR(VLOOKUP($I54,'Privacy Analyst Evaluation'!$A$46:$F$120,4,0),""))&amp;""</f>
        <v/>
      </c>
      <c r="M54" s="216" t="str">
        <f ca="1">IFERROR(VLOOKUP($I54,'Institution Evaluation'!$A$55:$F$346,6,0),IFERROR(VLOOKUP($I54,'Privacy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17">
      <c r="A55" s="216">
        <f>IFERROR(IF($A54+1&gt;'(backend scoring)'!$T$335,"",$A54+1),"")</f>
        <v>31</v>
      </c>
      <c r="B55" s="216" t="e">
        <f ca="1">_xlfn.XLOOKUP($A55,'(backend scoring)'!$V$2:$V$333,'(backend scoring)'!$A$2:$A$333,"")</f>
        <v>#NAME?</v>
      </c>
      <c r="C55" s="216" t="str">
        <f ca="1">IFERROR(VLOOKUP($B55,'Institution Evaluation'!$A$55:$F$346,2,0),IFERROR(VLOOKUP($B55,'Privacy Analyst Evaluation'!$A$46:$F$120,2,0),""))&amp;""</f>
        <v/>
      </c>
      <c r="D55" s="216" t="str">
        <f ca="1">IFERROR(VLOOKUP($B55,'Institution Evaluation'!$A$55:$F$346,3,0),IFERROR(VLOOKUP($B55,'Privacy Analyst Evaluation'!$A$46:$F$120,3,0),""))&amp;""</f>
        <v/>
      </c>
      <c r="E55" s="216" t="str">
        <f ca="1">IFERROR(VLOOKUP($B55,'Institution Evaluation'!$A$55:$F$346,4,0),IFERROR(VLOOKUP($B55,'Privacy Analyst Evaluation'!$A$46:$F$120,4,0),""))&amp;""</f>
        <v/>
      </c>
      <c r="F55" s="216" t="str">
        <f ca="1">IFERROR(VLOOKUP($B55,'Institution Evaluation'!$A$55:$F$346,6,0),IFERROR(VLOOKUP($B55,'Privacy Analyst Evaluation'!$A$46:$F$120,6,0),""))&amp;""</f>
        <v/>
      </c>
      <c r="G55" s="217"/>
      <c r="H55" s="216" t="str">
        <f>IFERROR(IF($H54+1&gt;'(backend scoring)'!$Q$335,"",$H54+1),"")</f>
        <v/>
      </c>
      <c r="I55" s="216" t="e">
        <f ca="1">_xlfn.XLOOKUP($H55,'(backend scoring)'!$S$2:$S$333,'(backend scoring)'!$A$2:$A$333,"")</f>
        <v>#NAME?</v>
      </c>
      <c r="J55" s="216" t="str">
        <f ca="1">IFERROR(VLOOKUP($I55,'Institution Evaluation'!$A$55:$F$346,2,0),IFERROR(VLOOKUP($I55,'Privacy Analyst Evaluation'!$A$46:$F$120,2,0),""))</f>
        <v/>
      </c>
      <c r="K55" s="216" t="str">
        <f ca="1">IFERROR(VLOOKUP($I55,'Institution Evaluation'!$A$55:$F$346,3,0),IFERROR(VLOOKUP($I55,'Privacy Analyst Evaluation'!$A$46:$F$120,3,0),""))&amp;""</f>
        <v/>
      </c>
      <c r="L55" s="216" t="str">
        <f ca="1">IFERROR(VLOOKUP($I55,'Institution Evaluation'!$A$55:$F$346,4,0),IFERROR(VLOOKUP($I55,'Privacy Analyst Evaluation'!$A$46:$F$120,4,0),""))&amp;""</f>
        <v/>
      </c>
      <c r="M55" s="216" t="str">
        <f ca="1">IFERROR(VLOOKUP($I55,'Institution Evaluation'!$A$55:$F$346,6,0),IFERROR(VLOOKUP($I55,'Privacy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17">
      <c r="A56" s="216">
        <f>IFERROR(IF($A55+1&gt;'(backend scoring)'!$T$335,"",$A55+1),"")</f>
        <v>32</v>
      </c>
      <c r="B56" s="216" t="e">
        <f ca="1">_xlfn.XLOOKUP($A56,'(backend scoring)'!$V$2:$V$333,'(backend scoring)'!$A$2:$A$333,"")</f>
        <v>#NAME?</v>
      </c>
      <c r="C56" s="216" t="str">
        <f ca="1">IFERROR(VLOOKUP($B56,'Institution Evaluation'!$A$55:$F$346,2,0),IFERROR(VLOOKUP($B56,'Privacy Analyst Evaluation'!$A$46:$F$120,2,0),""))&amp;""</f>
        <v/>
      </c>
      <c r="D56" s="216" t="str">
        <f ca="1">IFERROR(VLOOKUP($B56,'Institution Evaluation'!$A$55:$F$346,3,0),IFERROR(VLOOKUP($B56,'Privacy Analyst Evaluation'!$A$46:$F$120,3,0),""))&amp;""</f>
        <v/>
      </c>
      <c r="E56" s="216" t="str">
        <f ca="1">IFERROR(VLOOKUP($B56,'Institution Evaluation'!$A$55:$F$346,4,0),IFERROR(VLOOKUP($B56,'Privacy Analyst Evaluation'!$A$46:$F$120,4,0),""))&amp;""</f>
        <v/>
      </c>
      <c r="F56" s="216" t="str">
        <f ca="1">IFERROR(VLOOKUP($B56,'Institution Evaluation'!$A$55:$F$346,6,0),IFERROR(VLOOKUP($B56,'Privacy Analyst Evaluation'!$A$46:$F$120,6,0),""))&amp;""</f>
        <v/>
      </c>
      <c r="G56" s="217"/>
      <c r="H56" s="216" t="str">
        <f>IFERROR(IF($H55+1&gt;'(backend scoring)'!$Q$335,"",$H55+1),"")</f>
        <v/>
      </c>
      <c r="I56" s="216" t="e">
        <f ca="1">_xlfn.XLOOKUP($H56,'(backend scoring)'!$S$2:$S$333,'(backend scoring)'!$A$2:$A$333,"")</f>
        <v>#NAME?</v>
      </c>
      <c r="J56" s="216" t="str">
        <f ca="1">IFERROR(VLOOKUP($I56,'Institution Evaluation'!$A$55:$F$346,2,0),IFERROR(VLOOKUP($I56,'Privacy Analyst Evaluation'!$A$46:$F$120,2,0),""))</f>
        <v/>
      </c>
      <c r="K56" s="216" t="str">
        <f ca="1">IFERROR(VLOOKUP($I56,'Institution Evaluation'!$A$55:$F$346,3,0),IFERROR(VLOOKUP($I56,'Privacy Analyst Evaluation'!$A$46:$F$120,3,0),""))&amp;""</f>
        <v/>
      </c>
      <c r="L56" s="216" t="str">
        <f ca="1">IFERROR(VLOOKUP($I56,'Institution Evaluation'!$A$55:$F$346,4,0),IFERROR(VLOOKUP($I56,'Privacy Analyst Evaluation'!$A$46:$F$120,4,0),""))&amp;""</f>
        <v/>
      </c>
      <c r="M56" s="216" t="str">
        <f ca="1">IFERROR(VLOOKUP($I56,'Institution Evaluation'!$A$55:$F$346,6,0),IFERROR(VLOOKUP($I56,'Privacy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17">
      <c r="A57" s="216">
        <f>IFERROR(IF($A56+1&gt;'(backend scoring)'!$T$335,"",$A56+1),"")</f>
        <v>33</v>
      </c>
      <c r="B57" s="216" t="e">
        <f ca="1">_xlfn.XLOOKUP($A57,'(backend scoring)'!$V$2:$V$333,'(backend scoring)'!$A$2:$A$333,"")</f>
        <v>#NAME?</v>
      </c>
      <c r="C57" s="216" t="str">
        <f ca="1">IFERROR(VLOOKUP($B57,'Institution Evaluation'!$A$55:$F$346,2,0),IFERROR(VLOOKUP($B57,'Privacy Analyst Evaluation'!$A$46:$F$120,2,0),""))&amp;""</f>
        <v/>
      </c>
      <c r="D57" s="216" t="str">
        <f ca="1">IFERROR(VLOOKUP($B57,'Institution Evaluation'!$A$55:$F$346,3,0),IFERROR(VLOOKUP($B57,'Privacy Analyst Evaluation'!$A$46:$F$120,3,0),""))&amp;""</f>
        <v/>
      </c>
      <c r="E57" s="216" t="str">
        <f ca="1">IFERROR(VLOOKUP($B57,'Institution Evaluation'!$A$55:$F$346,4,0),IFERROR(VLOOKUP($B57,'Privacy Analyst Evaluation'!$A$46:$F$120,4,0),""))&amp;""</f>
        <v/>
      </c>
      <c r="F57" s="216" t="str">
        <f ca="1">IFERROR(VLOOKUP($B57,'Institution Evaluation'!$A$55:$F$346,6,0),IFERROR(VLOOKUP($B57,'Privacy Analyst Evaluation'!$A$46:$F$120,6,0),""))&amp;""</f>
        <v/>
      </c>
      <c r="G57" s="217"/>
      <c r="H57" s="216" t="str">
        <f>IFERROR(IF($H56+1&gt;'(backend scoring)'!$Q$335,"",$H56+1),"")</f>
        <v/>
      </c>
      <c r="I57" s="216" t="e">
        <f ca="1">_xlfn.XLOOKUP($H57,'(backend scoring)'!$S$2:$S$333,'(backend scoring)'!$A$2:$A$333,"")</f>
        <v>#NAME?</v>
      </c>
      <c r="J57" s="216" t="str">
        <f ca="1">IFERROR(VLOOKUP($I57,'Institution Evaluation'!$A$55:$F$346,2,0),IFERROR(VLOOKUP($I57,'Privacy Analyst Evaluation'!$A$46:$F$120,2,0),""))</f>
        <v/>
      </c>
      <c r="K57" s="216" t="str">
        <f ca="1">IFERROR(VLOOKUP($I57,'Institution Evaluation'!$A$55:$F$346,3,0),IFERROR(VLOOKUP($I57,'Privacy Analyst Evaluation'!$A$46:$F$120,3,0),""))&amp;""</f>
        <v/>
      </c>
      <c r="L57" s="216" t="str">
        <f ca="1">IFERROR(VLOOKUP($I57,'Institution Evaluation'!$A$55:$F$346,4,0),IFERROR(VLOOKUP($I57,'Privacy Analyst Evaluation'!$A$46:$F$120,4,0),""))&amp;""</f>
        <v/>
      </c>
      <c r="M57" s="216" t="str">
        <f ca="1">IFERROR(VLOOKUP($I57,'Institution Evaluation'!$A$55:$F$346,6,0),IFERROR(VLOOKUP($I57,'Privacy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17">
      <c r="A58" s="216">
        <f>IFERROR(IF($A57+1&gt;'(backend scoring)'!$T$335,"",$A57+1),"")</f>
        <v>34</v>
      </c>
      <c r="B58" s="216" t="e">
        <f ca="1">_xlfn.XLOOKUP($A58,'(backend scoring)'!$V$2:$V$333,'(backend scoring)'!$A$2:$A$333,"")</f>
        <v>#NAME?</v>
      </c>
      <c r="C58" s="216" t="str">
        <f ca="1">IFERROR(VLOOKUP($B58,'Institution Evaluation'!$A$55:$F$346,2,0),IFERROR(VLOOKUP($B58,'Privacy Analyst Evaluation'!$A$46:$F$120,2,0),""))&amp;""</f>
        <v/>
      </c>
      <c r="D58" s="216" t="str">
        <f ca="1">IFERROR(VLOOKUP($B58,'Institution Evaluation'!$A$55:$F$346,3,0),IFERROR(VLOOKUP($B58,'Privacy Analyst Evaluation'!$A$46:$F$120,3,0),""))&amp;""</f>
        <v/>
      </c>
      <c r="E58" s="216" t="str">
        <f ca="1">IFERROR(VLOOKUP($B58,'Institution Evaluation'!$A$55:$F$346,4,0),IFERROR(VLOOKUP($B58,'Privacy Analyst Evaluation'!$A$46:$F$120,4,0),""))&amp;""</f>
        <v/>
      </c>
      <c r="F58" s="216" t="str">
        <f ca="1">IFERROR(VLOOKUP($B58,'Institution Evaluation'!$A$55:$F$346,6,0),IFERROR(VLOOKUP($B58,'Privacy Analyst Evaluation'!$A$46:$F$120,6,0),""))&amp;""</f>
        <v/>
      </c>
      <c r="G58" s="217"/>
      <c r="H58" s="216" t="str">
        <f>IFERROR(IF($H57+1&gt;'(backend scoring)'!$Q$335,"",$H57+1),"")</f>
        <v/>
      </c>
      <c r="I58" s="216" t="e">
        <f ca="1">_xlfn.XLOOKUP($H58,'(backend scoring)'!$S$2:$S$333,'(backend scoring)'!$A$2:$A$333,"")</f>
        <v>#NAME?</v>
      </c>
      <c r="J58" s="216" t="str">
        <f ca="1">IFERROR(VLOOKUP($I58,'Institution Evaluation'!$A$55:$F$346,2,0),IFERROR(VLOOKUP($I58,'Privacy Analyst Evaluation'!$A$46:$F$120,2,0),""))</f>
        <v/>
      </c>
      <c r="K58" s="216" t="str">
        <f ca="1">IFERROR(VLOOKUP($I58,'Institution Evaluation'!$A$55:$F$346,3,0),IFERROR(VLOOKUP($I58,'Privacy Analyst Evaluation'!$A$46:$F$120,3,0),""))&amp;""</f>
        <v/>
      </c>
      <c r="L58" s="216" t="str">
        <f ca="1">IFERROR(VLOOKUP($I58,'Institution Evaluation'!$A$55:$F$346,4,0),IFERROR(VLOOKUP($I58,'Privacy Analyst Evaluation'!$A$46:$F$120,4,0),""))&amp;""</f>
        <v/>
      </c>
      <c r="M58" s="216" t="str">
        <f ca="1">IFERROR(VLOOKUP($I58,'Institution Evaluation'!$A$55:$F$346,6,0),IFERROR(VLOOKUP($I58,'Privacy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17">
      <c r="A59" s="216">
        <f>IFERROR(IF($A58+1&gt;'(backend scoring)'!$T$335,"",$A58+1),"")</f>
        <v>35</v>
      </c>
      <c r="B59" s="216" t="e">
        <f ca="1">_xlfn.XLOOKUP($A59,'(backend scoring)'!$V$2:$V$333,'(backend scoring)'!$A$2:$A$333,"")</f>
        <v>#NAME?</v>
      </c>
      <c r="C59" s="216" t="str">
        <f ca="1">IFERROR(VLOOKUP($B59,'Institution Evaluation'!$A$55:$F$346,2,0),IFERROR(VLOOKUP($B59,'Privacy Analyst Evaluation'!$A$46:$F$120,2,0),""))&amp;""</f>
        <v/>
      </c>
      <c r="D59" s="216" t="str">
        <f ca="1">IFERROR(VLOOKUP($B59,'Institution Evaluation'!$A$55:$F$346,3,0),IFERROR(VLOOKUP($B59,'Privacy Analyst Evaluation'!$A$46:$F$120,3,0),""))&amp;""</f>
        <v/>
      </c>
      <c r="E59" s="216" t="str">
        <f ca="1">IFERROR(VLOOKUP($B59,'Institution Evaluation'!$A$55:$F$346,4,0),IFERROR(VLOOKUP($B59,'Privacy Analyst Evaluation'!$A$46:$F$120,4,0),""))&amp;""</f>
        <v/>
      </c>
      <c r="F59" s="216" t="str">
        <f ca="1">IFERROR(VLOOKUP($B59,'Institution Evaluation'!$A$55:$F$346,6,0),IFERROR(VLOOKUP($B59,'Privacy Analyst Evaluation'!$A$46:$F$120,6,0),""))&amp;""</f>
        <v/>
      </c>
      <c r="G59" s="217"/>
      <c r="H59" s="216" t="str">
        <f>IFERROR(IF($H58+1&gt;'(backend scoring)'!$Q$335,"",$H58+1),"")</f>
        <v/>
      </c>
      <c r="I59" s="216" t="e">
        <f ca="1">_xlfn.XLOOKUP($H59,'(backend scoring)'!$S$2:$S$333,'(backend scoring)'!$A$2:$A$333,"")</f>
        <v>#NAME?</v>
      </c>
      <c r="J59" s="216" t="str">
        <f ca="1">IFERROR(VLOOKUP($I59,'Institution Evaluation'!$A$55:$F$346,2,0),IFERROR(VLOOKUP($I59,'Privacy Analyst Evaluation'!$A$46:$F$120,2,0),""))</f>
        <v/>
      </c>
      <c r="K59" s="216" t="str">
        <f ca="1">IFERROR(VLOOKUP($I59,'Institution Evaluation'!$A$55:$F$346,3,0),IFERROR(VLOOKUP($I59,'Privacy Analyst Evaluation'!$A$46:$F$120,3,0),""))&amp;""</f>
        <v/>
      </c>
      <c r="L59" s="216" t="str">
        <f ca="1">IFERROR(VLOOKUP($I59,'Institution Evaluation'!$A$55:$F$346,4,0),IFERROR(VLOOKUP($I59,'Privacy Analyst Evaluation'!$A$46:$F$120,4,0),""))&amp;""</f>
        <v/>
      </c>
      <c r="M59" s="216" t="str">
        <f ca="1">IFERROR(VLOOKUP($I59,'Institution Evaluation'!$A$55:$F$346,6,0),IFERROR(VLOOKUP($I59,'Privacy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17">
      <c r="A60" s="216">
        <f>IFERROR(IF($A59+1&gt;'(backend scoring)'!$T$335,"",$A59+1),"")</f>
        <v>36</v>
      </c>
      <c r="B60" s="216" t="e">
        <f ca="1">_xlfn.XLOOKUP($A60,'(backend scoring)'!$V$2:$V$333,'(backend scoring)'!$A$2:$A$333,"")</f>
        <v>#NAME?</v>
      </c>
      <c r="C60" s="216" t="str">
        <f ca="1">IFERROR(VLOOKUP($B60,'Institution Evaluation'!$A$55:$F$346,2,0),IFERROR(VLOOKUP($B60,'Privacy Analyst Evaluation'!$A$46:$F$120,2,0),""))&amp;""</f>
        <v/>
      </c>
      <c r="D60" s="216" t="str">
        <f ca="1">IFERROR(VLOOKUP($B60,'Institution Evaluation'!$A$55:$F$346,3,0),IFERROR(VLOOKUP($B60,'Privacy Analyst Evaluation'!$A$46:$F$120,3,0),""))&amp;""</f>
        <v/>
      </c>
      <c r="E60" s="216" t="str">
        <f ca="1">IFERROR(VLOOKUP($B60,'Institution Evaluation'!$A$55:$F$346,4,0),IFERROR(VLOOKUP($B60,'Privacy Analyst Evaluation'!$A$46:$F$120,4,0),""))&amp;""</f>
        <v/>
      </c>
      <c r="F60" s="216" t="str">
        <f ca="1">IFERROR(VLOOKUP($B60,'Institution Evaluation'!$A$55:$F$346,6,0),IFERROR(VLOOKUP($B60,'Privacy Analyst Evaluation'!$A$46:$F$120,6,0),""))&amp;""</f>
        <v/>
      </c>
      <c r="G60" s="217"/>
      <c r="H60" s="216" t="str">
        <f>IFERROR(IF($H59+1&gt;'(backend scoring)'!$Q$335,"",$H59+1),"")</f>
        <v/>
      </c>
      <c r="I60" s="216" t="e">
        <f ca="1">_xlfn.XLOOKUP($H60,'(backend scoring)'!$S$2:$S$333,'(backend scoring)'!$A$2:$A$333,"")</f>
        <v>#NAME?</v>
      </c>
      <c r="J60" s="216" t="str">
        <f ca="1">IFERROR(VLOOKUP($I60,'Institution Evaluation'!$A$55:$F$346,2,0),IFERROR(VLOOKUP($I60,'Privacy Analyst Evaluation'!$A$46:$F$120,2,0),""))</f>
        <v/>
      </c>
      <c r="K60" s="216" t="str">
        <f ca="1">IFERROR(VLOOKUP($I60,'Institution Evaluation'!$A$55:$F$346,3,0),IFERROR(VLOOKUP($I60,'Privacy Analyst Evaluation'!$A$46:$F$120,3,0),""))&amp;""</f>
        <v/>
      </c>
      <c r="L60" s="216" t="str">
        <f ca="1">IFERROR(VLOOKUP($I60,'Institution Evaluation'!$A$55:$F$346,4,0),IFERROR(VLOOKUP($I60,'Privacy Analyst Evaluation'!$A$46:$F$120,4,0),""))&amp;""</f>
        <v/>
      </c>
      <c r="M60" s="216" t="str">
        <f ca="1">IFERROR(VLOOKUP($I60,'Institution Evaluation'!$A$55:$F$346,6,0),IFERROR(VLOOKUP($I60,'Privacy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17">
      <c r="A61" s="216">
        <f>IFERROR(IF($A60+1&gt;'(backend scoring)'!$T$335,"",$A60+1),"")</f>
        <v>37</v>
      </c>
      <c r="B61" s="216" t="e">
        <f ca="1">_xlfn.XLOOKUP($A61,'(backend scoring)'!$V$2:$V$333,'(backend scoring)'!$A$2:$A$333,"")</f>
        <v>#NAME?</v>
      </c>
      <c r="C61" s="216" t="str">
        <f ca="1">IFERROR(VLOOKUP($B61,'Institution Evaluation'!$A$55:$F$346,2,0),IFERROR(VLOOKUP($B61,'Privacy Analyst Evaluation'!$A$46:$F$120,2,0),""))&amp;""</f>
        <v/>
      </c>
      <c r="D61" s="216" t="str">
        <f ca="1">IFERROR(VLOOKUP($B61,'Institution Evaluation'!$A$55:$F$346,3,0),IFERROR(VLOOKUP($B61,'Privacy Analyst Evaluation'!$A$46:$F$120,3,0),""))&amp;""</f>
        <v/>
      </c>
      <c r="E61" s="216" t="str">
        <f ca="1">IFERROR(VLOOKUP($B61,'Institution Evaluation'!$A$55:$F$346,4,0),IFERROR(VLOOKUP($B61,'Privacy Analyst Evaluation'!$A$46:$F$120,4,0),""))&amp;""</f>
        <v/>
      </c>
      <c r="F61" s="216" t="str">
        <f ca="1">IFERROR(VLOOKUP($B61,'Institution Evaluation'!$A$55:$F$346,6,0),IFERROR(VLOOKUP($B61,'Privacy Analyst Evaluation'!$A$46:$F$120,6,0),""))&amp;""</f>
        <v/>
      </c>
      <c r="G61" s="217"/>
      <c r="H61" s="216" t="str">
        <f>IFERROR(IF($H60+1&gt;'(backend scoring)'!$Q$335,"",$H60+1),"")</f>
        <v/>
      </c>
      <c r="I61" s="216" t="e">
        <f ca="1">_xlfn.XLOOKUP($H61,'(backend scoring)'!$S$2:$S$333,'(backend scoring)'!$A$2:$A$333,"")</f>
        <v>#NAME?</v>
      </c>
      <c r="J61" s="216" t="str">
        <f ca="1">IFERROR(VLOOKUP($I61,'Institution Evaluation'!$A$55:$F$346,2,0),IFERROR(VLOOKUP($I61,'Privacy Analyst Evaluation'!$A$46:$F$120,2,0),""))</f>
        <v/>
      </c>
      <c r="K61" s="216" t="str">
        <f ca="1">IFERROR(VLOOKUP($I61,'Institution Evaluation'!$A$55:$F$346,3,0),IFERROR(VLOOKUP($I61,'Privacy Analyst Evaluation'!$A$46:$F$120,3,0),""))&amp;""</f>
        <v/>
      </c>
      <c r="L61" s="216" t="str">
        <f ca="1">IFERROR(VLOOKUP($I61,'Institution Evaluation'!$A$55:$F$346,4,0),IFERROR(VLOOKUP($I61,'Privacy Analyst Evaluation'!$A$46:$F$120,4,0),""))&amp;""</f>
        <v/>
      </c>
      <c r="M61" s="216" t="str">
        <f ca="1">IFERROR(VLOOKUP($I61,'Institution Evaluation'!$A$55:$F$346,6,0),IFERROR(VLOOKUP($I61,'Privacy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17">
      <c r="A62" s="216">
        <f>IFERROR(IF($A61+1&gt;'(backend scoring)'!$T$335,"",$A61+1),"")</f>
        <v>38</v>
      </c>
      <c r="B62" s="216" t="e">
        <f ca="1">_xlfn.XLOOKUP($A62,'(backend scoring)'!$V$2:$V$333,'(backend scoring)'!$A$2:$A$333,"")</f>
        <v>#NAME?</v>
      </c>
      <c r="C62" s="216" t="str">
        <f ca="1">IFERROR(VLOOKUP($B62,'Institution Evaluation'!$A$55:$F$346,2,0),IFERROR(VLOOKUP($B62,'Privacy Analyst Evaluation'!$A$46:$F$120,2,0),""))&amp;""</f>
        <v/>
      </c>
      <c r="D62" s="216" t="str">
        <f ca="1">IFERROR(VLOOKUP($B62,'Institution Evaluation'!$A$55:$F$346,3,0),IFERROR(VLOOKUP($B62,'Privacy Analyst Evaluation'!$A$46:$F$120,3,0),""))&amp;""</f>
        <v/>
      </c>
      <c r="E62" s="216" t="str">
        <f ca="1">IFERROR(VLOOKUP($B62,'Institution Evaluation'!$A$55:$F$346,4,0),IFERROR(VLOOKUP($B62,'Privacy Analyst Evaluation'!$A$46:$F$120,4,0),""))&amp;""</f>
        <v/>
      </c>
      <c r="F62" s="216" t="str">
        <f ca="1">IFERROR(VLOOKUP($B62,'Institution Evaluation'!$A$55:$F$346,6,0),IFERROR(VLOOKUP($B62,'Privacy Analyst Evaluation'!$A$46:$F$120,6,0),""))&amp;""</f>
        <v/>
      </c>
      <c r="G62" s="217"/>
      <c r="H62" s="216" t="str">
        <f>IFERROR(IF($H61+1&gt;'(backend scoring)'!$Q$335,"",$H61+1),"")</f>
        <v/>
      </c>
      <c r="I62" s="216" t="e">
        <f ca="1">_xlfn.XLOOKUP($H62,'(backend scoring)'!$S$2:$S$333,'(backend scoring)'!$A$2:$A$333,"")</f>
        <v>#NAME?</v>
      </c>
      <c r="J62" s="216" t="str">
        <f ca="1">IFERROR(VLOOKUP($I62,'Institution Evaluation'!$A$55:$F$346,2,0),IFERROR(VLOOKUP($I62,'Privacy Analyst Evaluation'!$A$46:$F$120,2,0),""))</f>
        <v/>
      </c>
      <c r="K62" s="216" t="str">
        <f ca="1">IFERROR(VLOOKUP($I62,'Institution Evaluation'!$A$55:$F$346,3,0),IFERROR(VLOOKUP($I62,'Privacy Analyst Evaluation'!$A$46:$F$120,3,0),""))&amp;""</f>
        <v/>
      </c>
      <c r="L62" s="216" t="str">
        <f ca="1">IFERROR(VLOOKUP($I62,'Institution Evaluation'!$A$55:$F$346,4,0),IFERROR(VLOOKUP($I62,'Privacy Analyst Evaluation'!$A$46:$F$120,4,0),""))&amp;""</f>
        <v/>
      </c>
      <c r="M62" s="216" t="str">
        <f ca="1">IFERROR(VLOOKUP($I62,'Institution Evaluation'!$A$55:$F$346,6,0),IFERROR(VLOOKUP($I62,'Privacy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17">
      <c r="A63" s="216">
        <f>IFERROR(IF($A62+1&gt;'(backend scoring)'!$T$335,"",$A62+1),"")</f>
        <v>39</v>
      </c>
      <c r="B63" s="216" t="e">
        <f ca="1">_xlfn.XLOOKUP($A63,'(backend scoring)'!$V$2:$V$333,'(backend scoring)'!$A$2:$A$333,"")</f>
        <v>#NAME?</v>
      </c>
      <c r="C63" s="216" t="str">
        <f ca="1">IFERROR(VLOOKUP($B63,'Institution Evaluation'!$A$55:$F$346,2,0),IFERROR(VLOOKUP($B63,'Privacy Analyst Evaluation'!$A$46:$F$120,2,0),""))&amp;""</f>
        <v/>
      </c>
      <c r="D63" s="216" t="str">
        <f ca="1">IFERROR(VLOOKUP($B63,'Institution Evaluation'!$A$55:$F$346,3,0),IFERROR(VLOOKUP($B63,'Privacy Analyst Evaluation'!$A$46:$F$120,3,0),""))&amp;""</f>
        <v/>
      </c>
      <c r="E63" s="216" t="str">
        <f ca="1">IFERROR(VLOOKUP($B63,'Institution Evaluation'!$A$55:$F$346,4,0),IFERROR(VLOOKUP($B63,'Privacy Analyst Evaluation'!$A$46:$F$120,4,0),""))&amp;""</f>
        <v/>
      </c>
      <c r="F63" s="216" t="str">
        <f ca="1">IFERROR(VLOOKUP($B63,'Institution Evaluation'!$A$55:$F$346,6,0),IFERROR(VLOOKUP($B63,'Privacy Analyst Evaluation'!$A$46:$F$120,6,0),""))&amp;""</f>
        <v/>
      </c>
      <c r="G63" s="217"/>
      <c r="H63" s="216" t="str">
        <f>IFERROR(IF($H62+1&gt;'(backend scoring)'!$Q$335,"",$H62+1),"")</f>
        <v/>
      </c>
      <c r="I63" s="216" t="e">
        <f ca="1">_xlfn.XLOOKUP($H63,'(backend scoring)'!$S$2:$S$333,'(backend scoring)'!$A$2:$A$333,"")</f>
        <v>#NAME?</v>
      </c>
      <c r="J63" s="216" t="str">
        <f ca="1">IFERROR(VLOOKUP($I63,'Institution Evaluation'!$A$55:$F$346,2,0),IFERROR(VLOOKUP($I63,'Privacy Analyst Evaluation'!$A$46:$F$120,2,0),""))</f>
        <v/>
      </c>
      <c r="K63" s="216" t="str">
        <f ca="1">IFERROR(VLOOKUP($I63,'Institution Evaluation'!$A$55:$F$346,3,0),IFERROR(VLOOKUP($I63,'Privacy Analyst Evaluation'!$A$46:$F$120,3,0),""))&amp;""</f>
        <v/>
      </c>
      <c r="L63" s="216" t="str">
        <f ca="1">IFERROR(VLOOKUP($I63,'Institution Evaluation'!$A$55:$F$346,4,0),IFERROR(VLOOKUP($I63,'Privacy Analyst Evaluation'!$A$46:$F$120,4,0),""))&amp;""</f>
        <v/>
      </c>
      <c r="M63" s="216" t="str">
        <f ca="1">IFERROR(VLOOKUP($I63,'Institution Evaluation'!$A$55:$F$346,6,0),IFERROR(VLOOKUP($I63,'Privacy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17">
      <c r="A64" s="216">
        <f>IFERROR(IF($A63+1&gt;'(backend scoring)'!$T$335,"",$A63+1),"")</f>
        <v>40</v>
      </c>
      <c r="B64" s="216" t="e">
        <f ca="1">_xlfn.XLOOKUP($A64,'(backend scoring)'!$V$2:$V$333,'(backend scoring)'!$A$2:$A$333,"")</f>
        <v>#NAME?</v>
      </c>
      <c r="C64" s="216" t="str">
        <f ca="1">IFERROR(VLOOKUP($B64,'Institution Evaluation'!$A$55:$F$346,2,0),IFERROR(VLOOKUP($B64,'Privacy Analyst Evaluation'!$A$46:$F$120,2,0),""))&amp;""</f>
        <v/>
      </c>
      <c r="D64" s="216" t="str">
        <f ca="1">IFERROR(VLOOKUP($B64,'Institution Evaluation'!$A$55:$F$346,3,0),IFERROR(VLOOKUP($B64,'Privacy Analyst Evaluation'!$A$46:$F$120,3,0),""))&amp;""</f>
        <v/>
      </c>
      <c r="E64" s="216" t="str">
        <f ca="1">IFERROR(VLOOKUP($B64,'Institution Evaluation'!$A$55:$F$346,4,0),IFERROR(VLOOKUP($B64,'Privacy Analyst Evaluation'!$A$46:$F$120,4,0),""))&amp;""</f>
        <v/>
      </c>
      <c r="F64" s="216" t="str">
        <f ca="1">IFERROR(VLOOKUP($B64,'Institution Evaluation'!$A$55:$F$346,6,0),IFERROR(VLOOKUP($B64,'Privacy Analyst Evaluation'!$A$46:$F$120,6,0),""))&amp;""</f>
        <v/>
      </c>
      <c r="G64" s="217"/>
      <c r="H64" s="216" t="str">
        <f>IFERROR(IF($H63+1&gt;'(backend scoring)'!$Q$335,"",$H63+1),"")</f>
        <v/>
      </c>
      <c r="I64" s="216" t="e">
        <f ca="1">_xlfn.XLOOKUP($H64,'(backend scoring)'!$S$2:$S$333,'(backend scoring)'!$A$2:$A$333,"")</f>
        <v>#NAME?</v>
      </c>
      <c r="J64" s="216" t="str">
        <f ca="1">IFERROR(VLOOKUP($I64,'Institution Evaluation'!$A$55:$F$346,2,0),IFERROR(VLOOKUP($I64,'Privacy Analyst Evaluation'!$A$46:$F$120,2,0),""))</f>
        <v/>
      </c>
      <c r="K64" s="216" t="str">
        <f ca="1">IFERROR(VLOOKUP($I64,'Institution Evaluation'!$A$55:$F$346,3,0),IFERROR(VLOOKUP($I64,'Privacy Analyst Evaluation'!$A$46:$F$120,3,0),""))&amp;""</f>
        <v/>
      </c>
      <c r="L64" s="216" t="str">
        <f ca="1">IFERROR(VLOOKUP($I64,'Institution Evaluation'!$A$55:$F$346,4,0),IFERROR(VLOOKUP($I64,'Privacy Analyst Evaluation'!$A$46:$F$120,4,0),""))&amp;""</f>
        <v/>
      </c>
      <c r="M64" s="216" t="str">
        <f ca="1">IFERROR(VLOOKUP($I64,'Institution Evaluation'!$A$55:$F$346,6,0),IFERROR(VLOOKUP($I64,'Privacy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17">
      <c r="A65" s="216">
        <f>IFERROR(IF($A64+1&gt;'(backend scoring)'!$T$335,"",$A64+1),"")</f>
        <v>41</v>
      </c>
      <c r="B65" s="216" t="e">
        <f ca="1">_xlfn.XLOOKUP($A65,'(backend scoring)'!$V$2:$V$333,'(backend scoring)'!$A$2:$A$333,"")</f>
        <v>#NAME?</v>
      </c>
      <c r="C65" s="216" t="str">
        <f ca="1">IFERROR(VLOOKUP($B65,'Institution Evaluation'!$A$55:$F$346,2,0),IFERROR(VLOOKUP($B65,'Privacy Analyst Evaluation'!$A$46:$F$120,2,0),""))&amp;""</f>
        <v/>
      </c>
      <c r="D65" s="216" t="str">
        <f ca="1">IFERROR(VLOOKUP($B65,'Institution Evaluation'!$A$55:$F$346,3,0),IFERROR(VLOOKUP($B65,'Privacy Analyst Evaluation'!$A$46:$F$120,3,0),""))&amp;""</f>
        <v/>
      </c>
      <c r="E65" s="216" t="str">
        <f ca="1">IFERROR(VLOOKUP($B65,'Institution Evaluation'!$A$55:$F$346,4,0),IFERROR(VLOOKUP($B65,'Privacy Analyst Evaluation'!$A$46:$F$120,4,0),""))&amp;""</f>
        <v/>
      </c>
      <c r="F65" s="216" t="str">
        <f ca="1">IFERROR(VLOOKUP($B65,'Institution Evaluation'!$A$55:$F$346,6,0),IFERROR(VLOOKUP($B65,'Privacy Analyst Evaluation'!$A$46:$F$120,6,0),""))&amp;""</f>
        <v/>
      </c>
      <c r="G65" s="217"/>
      <c r="H65" s="216" t="str">
        <f>IFERROR(IF($H64+1&gt;'(backend scoring)'!$Q$335,"",$H64+1),"")</f>
        <v/>
      </c>
      <c r="I65" s="216" t="e">
        <f ca="1">_xlfn.XLOOKUP($H65,'(backend scoring)'!$S$2:$S$333,'(backend scoring)'!$A$2:$A$333,"")</f>
        <v>#NAME?</v>
      </c>
      <c r="J65" s="216" t="str">
        <f ca="1">IFERROR(VLOOKUP($I65,'Institution Evaluation'!$A$55:$F$346,2,0),IFERROR(VLOOKUP($I65,'Privacy Analyst Evaluation'!$A$46:$F$120,2,0),""))</f>
        <v/>
      </c>
      <c r="K65" s="216" t="str">
        <f ca="1">IFERROR(VLOOKUP($I65,'Institution Evaluation'!$A$55:$F$346,3,0),IFERROR(VLOOKUP($I65,'Privacy Analyst Evaluation'!$A$46:$F$120,3,0),""))&amp;""</f>
        <v/>
      </c>
      <c r="L65" s="216" t="str">
        <f ca="1">IFERROR(VLOOKUP($I65,'Institution Evaluation'!$A$55:$F$346,4,0),IFERROR(VLOOKUP($I65,'Privacy Analyst Evaluation'!$A$46:$F$120,4,0),""))&amp;""</f>
        <v/>
      </c>
      <c r="M65" s="216" t="str">
        <f ca="1">IFERROR(VLOOKUP($I65,'Institution Evaluation'!$A$55:$F$346,6,0),IFERROR(VLOOKUP($I65,'Privacy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17">
      <c r="A66" s="216">
        <f>IFERROR(IF($A65+1&gt;'(backend scoring)'!$T$335,"",$A65+1),"")</f>
        <v>42</v>
      </c>
      <c r="B66" s="216" t="e">
        <f ca="1">_xlfn.XLOOKUP($A66,'(backend scoring)'!$V$2:$V$333,'(backend scoring)'!$A$2:$A$333,"")</f>
        <v>#NAME?</v>
      </c>
      <c r="C66" s="216" t="str">
        <f ca="1">IFERROR(VLOOKUP($B66,'Institution Evaluation'!$A$55:$F$346,2,0),IFERROR(VLOOKUP($B66,'Privacy Analyst Evaluation'!$A$46:$F$120,2,0),""))&amp;""</f>
        <v/>
      </c>
      <c r="D66" s="216" t="str">
        <f ca="1">IFERROR(VLOOKUP($B66,'Institution Evaluation'!$A$55:$F$346,3,0),IFERROR(VLOOKUP($B66,'Privacy Analyst Evaluation'!$A$46:$F$120,3,0),""))&amp;""</f>
        <v/>
      </c>
      <c r="E66" s="216" t="str">
        <f ca="1">IFERROR(VLOOKUP($B66,'Institution Evaluation'!$A$55:$F$346,4,0),IFERROR(VLOOKUP($B66,'Privacy Analyst Evaluation'!$A$46:$F$120,4,0),""))&amp;""</f>
        <v/>
      </c>
      <c r="F66" s="216" t="str">
        <f ca="1">IFERROR(VLOOKUP($B66,'Institution Evaluation'!$A$55:$F$346,6,0),IFERROR(VLOOKUP($B66,'Privacy Analyst Evaluation'!$A$46:$F$120,6,0),""))&amp;""</f>
        <v/>
      </c>
      <c r="G66" s="217"/>
      <c r="H66" s="216" t="str">
        <f>IFERROR(IF($H65+1&gt;'(backend scoring)'!$Q$335,"",$H65+1),"")</f>
        <v/>
      </c>
      <c r="I66" s="216" t="e">
        <f ca="1">_xlfn.XLOOKUP($H66,'(backend scoring)'!$S$2:$S$333,'(backend scoring)'!$A$2:$A$333,"")</f>
        <v>#NAME?</v>
      </c>
      <c r="J66" s="216" t="str">
        <f ca="1">IFERROR(VLOOKUP($I66,'Institution Evaluation'!$A$55:$F$346,2,0),IFERROR(VLOOKUP($I66,'Privacy Analyst Evaluation'!$A$46:$F$120,2,0),""))</f>
        <v/>
      </c>
      <c r="K66" s="216" t="str">
        <f ca="1">IFERROR(VLOOKUP($I66,'Institution Evaluation'!$A$55:$F$346,3,0),IFERROR(VLOOKUP($I66,'Privacy Analyst Evaluation'!$A$46:$F$120,3,0),""))&amp;""</f>
        <v/>
      </c>
      <c r="L66" s="216" t="str">
        <f ca="1">IFERROR(VLOOKUP($I66,'Institution Evaluation'!$A$55:$F$346,4,0),IFERROR(VLOOKUP($I66,'Privacy Analyst Evaluation'!$A$46:$F$120,4,0),""))&amp;""</f>
        <v/>
      </c>
      <c r="M66" s="216" t="str">
        <f ca="1">IFERROR(VLOOKUP($I66,'Institution Evaluation'!$A$55:$F$346,6,0),IFERROR(VLOOKUP($I66,'Privacy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17">
      <c r="A67" s="216">
        <f>IFERROR(IF($A66+1&gt;'(backend scoring)'!$T$335,"",$A66+1),"")</f>
        <v>43</v>
      </c>
      <c r="B67" s="216" t="e">
        <f ca="1">_xlfn.XLOOKUP($A67,'(backend scoring)'!$V$2:$V$333,'(backend scoring)'!$A$2:$A$333,"")</f>
        <v>#NAME?</v>
      </c>
      <c r="C67" s="216" t="str">
        <f ca="1">IFERROR(VLOOKUP($B67,'Institution Evaluation'!$A$55:$F$346,2,0),IFERROR(VLOOKUP($B67,'Privacy Analyst Evaluation'!$A$46:$F$120,2,0),""))&amp;""</f>
        <v/>
      </c>
      <c r="D67" s="216" t="str">
        <f ca="1">IFERROR(VLOOKUP($B67,'Institution Evaluation'!$A$55:$F$346,3,0),IFERROR(VLOOKUP($B67,'Privacy Analyst Evaluation'!$A$46:$F$120,3,0),""))&amp;""</f>
        <v/>
      </c>
      <c r="E67" s="216" t="str">
        <f ca="1">IFERROR(VLOOKUP($B67,'Institution Evaluation'!$A$55:$F$346,4,0),IFERROR(VLOOKUP($B67,'Privacy Analyst Evaluation'!$A$46:$F$120,4,0),""))&amp;""</f>
        <v/>
      </c>
      <c r="F67" s="216" t="str">
        <f ca="1">IFERROR(VLOOKUP($B67,'Institution Evaluation'!$A$55:$F$346,6,0),IFERROR(VLOOKUP($B67,'Privacy Analyst Evaluation'!$A$46:$F$120,6,0),""))&amp;""</f>
        <v/>
      </c>
      <c r="G67" s="217"/>
      <c r="H67" s="216" t="str">
        <f>IFERROR(IF($H66+1&gt;'(backend scoring)'!$Q$335,"",$H66+1),"")</f>
        <v/>
      </c>
      <c r="I67" s="216" t="e">
        <f ca="1">_xlfn.XLOOKUP($H67,'(backend scoring)'!$S$2:$S$333,'(backend scoring)'!$A$2:$A$333,"")</f>
        <v>#NAME?</v>
      </c>
      <c r="J67" s="216" t="str">
        <f ca="1">IFERROR(VLOOKUP($I67,'Institution Evaluation'!$A$55:$F$346,2,0),IFERROR(VLOOKUP($I67,'Privacy Analyst Evaluation'!$A$46:$F$120,2,0),""))</f>
        <v/>
      </c>
      <c r="K67" s="216" t="str">
        <f ca="1">IFERROR(VLOOKUP($I67,'Institution Evaluation'!$A$55:$F$346,3,0),IFERROR(VLOOKUP($I67,'Privacy Analyst Evaluation'!$A$46:$F$120,3,0),""))&amp;""</f>
        <v/>
      </c>
      <c r="L67" s="216" t="str">
        <f ca="1">IFERROR(VLOOKUP($I67,'Institution Evaluation'!$A$55:$F$346,4,0),IFERROR(VLOOKUP($I67,'Privacy Analyst Evaluation'!$A$46:$F$120,4,0),""))&amp;""</f>
        <v/>
      </c>
      <c r="M67" s="216" t="str">
        <f ca="1">IFERROR(VLOOKUP($I67,'Institution Evaluation'!$A$55:$F$346,6,0),IFERROR(VLOOKUP($I67,'Privacy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17">
      <c r="A68" s="216">
        <f>IFERROR(IF($A67+1&gt;'(backend scoring)'!$T$335,"",$A67+1),"")</f>
        <v>44</v>
      </c>
      <c r="B68" s="216" t="e">
        <f ca="1">_xlfn.XLOOKUP($A68,'(backend scoring)'!$V$2:$V$333,'(backend scoring)'!$A$2:$A$333,"")</f>
        <v>#NAME?</v>
      </c>
      <c r="C68" s="216" t="str">
        <f ca="1">IFERROR(VLOOKUP($B68,'Institution Evaluation'!$A$55:$F$346,2,0),IFERROR(VLOOKUP($B68,'Privacy Analyst Evaluation'!$A$46:$F$120,2,0),""))&amp;""</f>
        <v/>
      </c>
      <c r="D68" s="216" t="str">
        <f ca="1">IFERROR(VLOOKUP($B68,'Institution Evaluation'!$A$55:$F$346,3,0),IFERROR(VLOOKUP($B68,'Privacy Analyst Evaluation'!$A$46:$F$120,3,0),""))&amp;""</f>
        <v/>
      </c>
      <c r="E68" s="216" t="str">
        <f ca="1">IFERROR(VLOOKUP($B68,'Institution Evaluation'!$A$55:$F$346,4,0),IFERROR(VLOOKUP($B68,'Privacy Analyst Evaluation'!$A$46:$F$120,4,0),""))&amp;""</f>
        <v/>
      </c>
      <c r="F68" s="216" t="str">
        <f ca="1">IFERROR(VLOOKUP($B68,'Institution Evaluation'!$A$55:$F$346,6,0),IFERROR(VLOOKUP($B68,'Privacy Analyst Evaluation'!$A$46:$F$120,6,0),""))&amp;""</f>
        <v/>
      </c>
      <c r="G68" s="217"/>
      <c r="H68" s="216" t="str">
        <f>IFERROR(IF($H67+1&gt;'(backend scoring)'!$Q$335,"",$H67+1),"")</f>
        <v/>
      </c>
      <c r="I68" s="216" t="e">
        <f ca="1">_xlfn.XLOOKUP($H68,'(backend scoring)'!$S$2:$S$333,'(backend scoring)'!$A$2:$A$333,"")</f>
        <v>#NAME?</v>
      </c>
      <c r="J68" s="216" t="str">
        <f ca="1">IFERROR(VLOOKUP($I68,'Institution Evaluation'!$A$55:$F$346,2,0),IFERROR(VLOOKUP($I68,'Privacy Analyst Evaluation'!$A$46:$F$120,2,0),""))</f>
        <v/>
      </c>
      <c r="K68" s="216" t="str">
        <f ca="1">IFERROR(VLOOKUP($I68,'Institution Evaluation'!$A$55:$F$346,3,0),IFERROR(VLOOKUP($I68,'Privacy Analyst Evaluation'!$A$46:$F$120,3,0),""))&amp;""</f>
        <v/>
      </c>
      <c r="L68" s="216" t="str">
        <f ca="1">IFERROR(VLOOKUP($I68,'Institution Evaluation'!$A$55:$F$346,4,0),IFERROR(VLOOKUP($I68,'Privacy Analyst Evaluation'!$A$46:$F$120,4,0),""))&amp;""</f>
        <v/>
      </c>
      <c r="M68" s="216" t="str">
        <f ca="1">IFERROR(VLOOKUP($I68,'Institution Evaluation'!$A$55:$F$346,6,0),IFERROR(VLOOKUP($I68,'Privacy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17">
      <c r="A69" s="216">
        <f>IFERROR(IF($A68+1&gt;'(backend scoring)'!$T$335,"",$A68+1),"")</f>
        <v>45</v>
      </c>
      <c r="B69" s="216" t="e">
        <f ca="1">_xlfn.XLOOKUP($A69,'(backend scoring)'!$V$2:$V$333,'(backend scoring)'!$A$2:$A$333,"")</f>
        <v>#NAME?</v>
      </c>
      <c r="C69" s="216" t="str">
        <f ca="1">IFERROR(VLOOKUP($B69,'Institution Evaluation'!$A$55:$F$346,2,0),IFERROR(VLOOKUP($B69,'Privacy Analyst Evaluation'!$A$46:$F$120,2,0),""))&amp;""</f>
        <v/>
      </c>
      <c r="D69" s="216" t="str">
        <f ca="1">IFERROR(VLOOKUP($B69,'Institution Evaluation'!$A$55:$F$346,3,0),IFERROR(VLOOKUP($B69,'Privacy Analyst Evaluation'!$A$46:$F$120,3,0),""))&amp;""</f>
        <v/>
      </c>
      <c r="E69" s="216" t="str">
        <f ca="1">IFERROR(VLOOKUP($B69,'Institution Evaluation'!$A$55:$F$346,4,0),IFERROR(VLOOKUP($B69,'Privacy Analyst Evaluation'!$A$46:$F$120,4,0),""))&amp;""</f>
        <v/>
      </c>
      <c r="F69" s="216" t="str">
        <f ca="1">IFERROR(VLOOKUP($B69,'Institution Evaluation'!$A$55:$F$346,6,0),IFERROR(VLOOKUP($B69,'Privacy Analyst Evaluation'!$A$46:$F$120,6,0),""))&amp;""</f>
        <v/>
      </c>
      <c r="G69" s="217"/>
      <c r="H69" s="216" t="str">
        <f>IFERROR(IF($H68+1&gt;'(backend scoring)'!$Q$335,"",$H68+1),"")</f>
        <v/>
      </c>
      <c r="I69" s="216" t="e">
        <f ca="1">_xlfn.XLOOKUP($H69,'(backend scoring)'!$S$2:$S$333,'(backend scoring)'!$A$2:$A$333,"")</f>
        <v>#NAME?</v>
      </c>
      <c r="J69" s="216" t="str">
        <f ca="1">IFERROR(VLOOKUP($I69,'Institution Evaluation'!$A$55:$F$346,2,0),IFERROR(VLOOKUP($I69,'Privacy Analyst Evaluation'!$A$46:$F$120,2,0),""))</f>
        <v/>
      </c>
      <c r="K69" s="216" t="str">
        <f ca="1">IFERROR(VLOOKUP($I69,'Institution Evaluation'!$A$55:$F$346,3,0),IFERROR(VLOOKUP($I69,'Privacy Analyst Evaluation'!$A$46:$F$120,3,0),""))&amp;""</f>
        <v/>
      </c>
      <c r="L69" s="216" t="str">
        <f ca="1">IFERROR(VLOOKUP($I69,'Institution Evaluation'!$A$55:$F$346,4,0),IFERROR(VLOOKUP($I69,'Privacy Analyst Evaluation'!$A$46:$F$120,4,0),""))&amp;""</f>
        <v/>
      </c>
      <c r="M69" s="216" t="str">
        <f ca="1">IFERROR(VLOOKUP($I69,'Institution Evaluation'!$A$55:$F$346,6,0),IFERROR(VLOOKUP($I69,'Privacy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17">
      <c r="A70" s="216">
        <f>IFERROR(IF($A69+1&gt;'(backend scoring)'!$T$335,"",$A69+1),"")</f>
        <v>46</v>
      </c>
      <c r="B70" s="216" t="e">
        <f ca="1">_xlfn.XLOOKUP($A70,'(backend scoring)'!$V$2:$V$333,'(backend scoring)'!$A$2:$A$333,"")</f>
        <v>#NAME?</v>
      </c>
      <c r="C70" s="216" t="str">
        <f ca="1">IFERROR(VLOOKUP($B70,'Institution Evaluation'!$A$55:$F$346,2,0),IFERROR(VLOOKUP($B70,'Privacy Analyst Evaluation'!$A$46:$F$120,2,0),""))&amp;""</f>
        <v/>
      </c>
      <c r="D70" s="216" t="str">
        <f ca="1">IFERROR(VLOOKUP($B70,'Institution Evaluation'!$A$55:$F$346,3,0),IFERROR(VLOOKUP($B70,'Privacy Analyst Evaluation'!$A$46:$F$120,3,0),""))&amp;""</f>
        <v/>
      </c>
      <c r="E70" s="216" t="str">
        <f ca="1">IFERROR(VLOOKUP($B70,'Institution Evaluation'!$A$55:$F$346,4,0),IFERROR(VLOOKUP($B70,'Privacy Analyst Evaluation'!$A$46:$F$120,4,0),""))&amp;""</f>
        <v/>
      </c>
      <c r="F70" s="216" t="str">
        <f ca="1">IFERROR(VLOOKUP($B70,'Institution Evaluation'!$A$55:$F$346,6,0),IFERROR(VLOOKUP($B70,'Privacy Analyst Evaluation'!$A$46:$F$120,6,0),""))&amp;""</f>
        <v/>
      </c>
      <c r="G70" s="217"/>
      <c r="H70" s="216" t="str">
        <f>IFERROR(IF($H69+1&gt;'(backend scoring)'!$Q$335,"",$H69+1),"")</f>
        <v/>
      </c>
      <c r="I70" s="216" t="e">
        <f ca="1">_xlfn.XLOOKUP($H70,'(backend scoring)'!$S$2:$S$333,'(backend scoring)'!$A$2:$A$333,"")</f>
        <v>#NAME?</v>
      </c>
      <c r="J70" s="216" t="str">
        <f ca="1">IFERROR(VLOOKUP($I70,'Institution Evaluation'!$A$55:$F$346,2,0),IFERROR(VLOOKUP($I70,'Privacy Analyst Evaluation'!$A$46:$F$120,2,0),""))</f>
        <v/>
      </c>
      <c r="K70" s="216" t="str">
        <f ca="1">IFERROR(VLOOKUP($I70,'Institution Evaluation'!$A$55:$F$346,3,0),IFERROR(VLOOKUP($I70,'Privacy Analyst Evaluation'!$A$46:$F$120,3,0),""))&amp;""</f>
        <v/>
      </c>
      <c r="L70" s="216" t="str">
        <f ca="1">IFERROR(VLOOKUP($I70,'Institution Evaluation'!$A$55:$F$346,4,0),IFERROR(VLOOKUP($I70,'Privacy Analyst Evaluation'!$A$46:$F$120,4,0),""))&amp;""</f>
        <v/>
      </c>
      <c r="M70" s="216" t="str">
        <f ca="1">IFERROR(VLOOKUP($I70,'Institution Evaluation'!$A$55:$F$346,6,0),IFERROR(VLOOKUP($I70,'Privacy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17">
      <c r="A71" s="216">
        <f>IFERROR(IF($A70+1&gt;'(backend scoring)'!$T$335,"",$A70+1),"")</f>
        <v>47</v>
      </c>
      <c r="B71" s="216" t="e">
        <f ca="1">_xlfn.XLOOKUP($A71,'(backend scoring)'!$V$2:$V$333,'(backend scoring)'!$A$2:$A$333,"")</f>
        <v>#NAME?</v>
      </c>
      <c r="C71" s="216" t="str">
        <f ca="1">IFERROR(VLOOKUP($B71,'Institution Evaluation'!$A$55:$F$346,2,0),IFERROR(VLOOKUP($B71,'Privacy Analyst Evaluation'!$A$46:$F$120,2,0),""))&amp;""</f>
        <v/>
      </c>
      <c r="D71" s="216" t="str">
        <f ca="1">IFERROR(VLOOKUP($B71,'Institution Evaluation'!$A$55:$F$346,3,0),IFERROR(VLOOKUP($B71,'Privacy Analyst Evaluation'!$A$46:$F$120,3,0),""))&amp;""</f>
        <v/>
      </c>
      <c r="E71" s="216" t="str">
        <f ca="1">IFERROR(VLOOKUP($B71,'Institution Evaluation'!$A$55:$F$346,4,0),IFERROR(VLOOKUP($B71,'Privacy Analyst Evaluation'!$A$46:$F$120,4,0),""))&amp;""</f>
        <v/>
      </c>
      <c r="F71" s="216" t="str">
        <f ca="1">IFERROR(VLOOKUP($B71,'Institution Evaluation'!$A$55:$F$346,6,0),IFERROR(VLOOKUP($B71,'Privacy Analyst Evaluation'!$A$46:$F$120,6,0),""))&amp;""</f>
        <v/>
      </c>
      <c r="G71" s="217"/>
      <c r="H71" s="216" t="str">
        <f>IFERROR(IF($H70+1&gt;'(backend scoring)'!$Q$335,"",$H70+1),"")</f>
        <v/>
      </c>
      <c r="I71" s="216" t="e">
        <f ca="1">_xlfn.XLOOKUP($H71,'(backend scoring)'!$S$2:$S$333,'(backend scoring)'!$A$2:$A$333,"")</f>
        <v>#NAME?</v>
      </c>
      <c r="J71" s="216" t="str">
        <f ca="1">IFERROR(VLOOKUP($I71,'Institution Evaluation'!$A$55:$F$346,2,0),IFERROR(VLOOKUP($I71,'Privacy Analyst Evaluation'!$A$46:$F$120,2,0),""))</f>
        <v/>
      </c>
      <c r="K71" s="216" t="str">
        <f ca="1">IFERROR(VLOOKUP($I71,'Institution Evaluation'!$A$55:$F$346,3,0),IFERROR(VLOOKUP($I71,'Privacy Analyst Evaluation'!$A$46:$F$120,3,0),""))&amp;""</f>
        <v/>
      </c>
      <c r="L71" s="216" t="str">
        <f ca="1">IFERROR(VLOOKUP($I71,'Institution Evaluation'!$A$55:$F$346,4,0),IFERROR(VLOOKUP($I71,'Privacy Analyst Evaluation'!$A$46:$F$120,4,0),""))&amp;""</f>
        <v/>
      </c>
      <c r="M71" s="216" t="str">
        <f ca="1">IFERROR(VLOOKUP($I71,'Institution Evaluation'!$A$55:$F$346,6,0),IFERROR(VLOOKUP($I71,'Privacy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17">
      <c r="A72" s="216">
        <f>IFERROR(IF($A71+1&gt;'(backend scoring)'!$T$335,"",$A71+1),"")</f>
        <v>48</v>
      </c>
      <c r="B72" s="216" t="e">
        <f ca="1">_xlfn.XLOOKUP($A72,'(backend scoring)'!$V$2:$V$333,'(backend scoring)'!$A$2:$A$333,"")</f>
        <v>#NAME?</v>
      </c>
      <c r="C72" s="216" t="str">
        <f ca="1">IFERROR(VLOOKUP($B72,'Institution Evaluation'!$A$55:$F$346,2,0),IFERROR(VLOOKUP($B72,'Privacy Analyst Evaluation'!$A$46:$F$120,2,0),""))&amp;""</f>
        <v/>
      </c>
      <c r="D72" s="216" t="str">
        <f ca="1">IFERROR(VLOOKUP($B72,'Institution Evaluation'!$A$55:$F$346,3,0),IFERROR(VLOOKUP($B72,'Privacy Analyst Evaluation'!$A$46:$F$120,3,0),""))&amp;""</f>
        <v/>
      </c>
      <c r="E72" s="216" t="str">
        <f ca="1">IFERROR(VLOOKUP($B72,'Institution Evaluation'!$A$55:$F$346,4,0),IFERROR(VLOOKUP($B72,'Privacy Analyst Evaluation'!$A$46:$F$120,4,0),""))&amp;""</f>
        <v/>
      </c>
      <c r="F72" s="216" t="str">
        <f ca="1">IFERROR(VLOOKUP($B72,'Institution Evaluation'!$A$55:$F$346,6,0),IFERROR(VLOOKUP($B72,'Privacy Analyst Evaluation'!$A$46:$F$120,6,0),""))&amp;""</f>
        <v/>
      </c>
      <c r="G72" s="217"/>
      <c r="H72" s="216" t="str">
        <f>IFERROR(IF($H71+1&gt;'(backend scoring)'!$Q$335,"",$H71+1),"")</f>
        <v/>
      </c>
      <c r="I72" s="216" t="e">
        <f ca="1">_xlfn.XLOOKUP($H72,'(backend scoring)'!$S$2:$S$333,'(backend scoring)'!$A$2:$A$333,"")</f>
        <v>#NAME?</v>
      </c>
      <c r="J72" s="216" t="str">
        <f ca="1">IFERROR(VLOOKUP($I72,'Institution Evaluation'!$A$55:$F$346,2,0),IFERROR(VLOOKUP($I72,'Privacy Analyst Evaluation'!$A$46:$F$120,2,0),""))</f>
        <v/>
      </c>
      <c r="K72" s="216" t="str">
        <f ca="1">IFERROR(VLOOKUP($I72,'Institution Evaluation'!$A$55:$F$346,3,0),IFERROR(VLOOKUP($I72,'Privacy Analyst Evaluation'!$A$46:$F$120,3,0),""))&amp;""</f>
        <v/>
      </c>
      <c r="L72" s="216" t="str">
        <f ca="1">IFERROR(VLOOKUP($I72,'Institution Evaluation'!$A$55:$F$346,4,0),IFERROR(VLOOKUP($I72,'Privacy Analyst Evaluation'!$A$46:$F$120,4,0),""))&amp;""</f>
        <v/>
      </c>
      <c r="M72" s="216" t="str">
        <f ca="1">IFERROR(VLOOKUP($I72,'Institution Evaluation'!$A$55:$F$346,6,0),IFERROR(VLOOKUP($I72,'Privacy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17">
      <c r="A73" s="216">
        <f>IFERROR(IF($A72+1&gt;'(backend scoring)'!$T$335,"",$A72+1),"")</f>
        <v>49</v>
      </c>
      <c r="B73" s="216" t="e">
        <f ca="1">_xlfn.XLOOKUP($A73,'(backend scoring)'!$V$2:$V$333,'(backend scoring)'!$A$2:$A$333,"")</f>
        <v>#NAME?</v>
      </c>
      <c r="C73" s="216" t="str">
        <f ca="1">IFERROR(VLOOKUP($B73,'Institution Evaluation'!$A$55:$F$346,2,0),IFERROR(VLOOKUP($B73,'Privacy Analyst Evaluation'!$A$46:$F$120,2,0),""))&amp;""</f>
        <v/>
      </c>
      <c r="D73" s="216" t="str">
        <f ca="1">IFERROR(VLOOKUP($B73,'Institution Evaluation'!$A$55:$F$346,3,0),IFERROR(VLOOKUP($B73,'Privacy Analyst Evaluation'!$A$46:$F$120,3,0),""))&amp;""</f>
        <v/>
      </c>
      <c r="E73" s="216" t="str">
        <f ca="1">IFERROR(VLOOKUP($B73,'Institution Evaluation'!$A$55:$F$346,4,0),IFERROR(VLOOKUP($B73,'Privacy Analyst Evaluation'!$A$46:$F$120,4,0),""))&amp;""</f>
        <v/>
      </c>
      <c r="F73" s="216" t="str">
        <f ca="1">IFERROR(VLOOKUP($B73,'Institution Evaluation'!$A$55:$F$346,6,0),IFERROR(VLOOKUP($B73,'Privacy Analyst Evaluation'!$A$46:$F$120,6,0),""))&amp;""</f>
        <v/>
      </c>
      <c r="G73" s="217"/>
      <c r="H73" s="216" t="str">
        <f>IFERROR(IF($H72+1&gt;'(backend scoring)'!$Q$335,"",$H72+1),"")</f>
        <v/>
      </c>
      <c r="I73" s="216" t="e">
        <f ca="1">_xlfn.XLOOKUP($H73,'(backend scoring)'!$S$2:$S$333,'(backend scoring)'!$A$2:$A$333,"")</f>
        <v>#NAME?</v>
      </c>
      <c r="J73" s="216" t="str">
        <f ca="1">IFERROR(VLOOKUP($I73,'Institution Evaluation'!$A$55:$F$346,2,0),IFERROR(VLOOKUP($I73,'Privacy Analyst Evaluation'!$A$46:$F$120,2,0),""))</f>
        <v/>
      </c>
      <c r="K73" s="216" t="str">
        <f ca="1">IFERROR(VLOOKUP($I73,'Institution Evaluation'!$A$55:$F$346,3,0),IFERROR(VLOOKUP($I73,'Privacy Analyst Evaluation'!$A$46:$F$120,3,0),""))&amp;""</f>
        <v/>
      </c>
      <c r="L73" s="216" t="str">
        <f ca="1">IFERROR(VLOOKUP($I73,'Institution Evaluation'!$A$55:$F$346,4,0),IFERROR(VLOOKUP($I73,'Privacy Analyst Evaluation'!$A$46:$F$120,4,0),""))&amp;""</f>
        <v/>
      </c>
      <c r="M73" s="216" t="str">
        <f ca="1">IFERROR(VLOOKUP($I73,'Institution Evaluation'!$A$55:$F$346,6,0),IFERROR(VLOOKUP($I73,'Privacy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17">
      <c r="A74" s="216">
        <f>IFERROR(IF($A73+1&gt;'(backend scoring)'!$T$335,"",$A73+1),"")</f>
        <v>50</v>
      </c>
      <c r="B74" s="216" t="e">
        <f ca="1">_xlfn.XLOOKUP($A74,'(backend scoring)'!$V$2:$V$333,'(backend scoring)'!$A$2:$A$333,"")</f>
        <v>#NAME?</v>
      </c>
      <c r="C74" s="216" t="str">
        <f ca="1">IFERROR(VLOOKUP($B74,'Institution Evaluation'!$A$55:$F$346,2,0),IFERROR(VLOOKUP($B74,'Privacy Analyst Evaluation'!$A$46:$F$120,2,0),""))&amp;""</f>
        <v/>
      </c>
      <c r="D74" s="216" t="str">
        <f ca="1">IFERROR(VLOOKUP($B74,'Institution Evaluation'!$A$55:$F$346,3,0),IFERROR(VLOOKUP($B74,'Privacy Analyst Evaluation'!$A$46:$F$120,3,0),""))&amp;""</f>
        <v/>
      </c>
      <c r="E74" s="216" t="str">
        <f ca="1">IFERROR(VLOOKUP($B74,'Institution Evaluation'!$A$55:$F$346,4,0),IFERROR(VLOOKUP($B74,'Privacy Analyst Evaluation'!$A$46:$F$120,4,0),""))&amp;""</f>
        <v/>
      </c>
      <c r="F74" s="216" t="str">
        <f ca="1">IFERROR(VLOOKUP($B74,'Institution Evaluation'!$A$55:$F$346,6,0),IFERROR(VLOOKUP($B74,'Privacy Analyst Evaluation'!$A$46:$F$120,6,0),""))&amp;""</f>
        <v/>
      </c>
      <c r="G74" s="217"/>
      <c r="H74" s="216" t="str">
        <f>IFERROR(IF($H73+1&gt;'(backend scoring)'!$Q$335,"",$H73+1),"")</f>
        <v/>
      </c>
      <c r="I74" s="216" t="e">
        <f ca="1">_xlfn.XLOOKUP($H74,'(backend scoring)'!$S$2:$S$333,'(backend scoring)'!$A$2:$A$333,"")</f>
        <v>#NAME?</v>
      </c>
      <c r="J74" s="216" t="str">
        <f ca="1">IFERROR(VLOOKUP($I74,'Institution Evaluation'!$A$55:$F$346,2,0),IFERROR(VLOOKUP($I74,'Privacy Analyst Evaluation'!$A$46:$F$120,2,0),""))</f>
        <v/>
      </c>
      <c r="K74" s="216" t="str">
        <f ca="1">IFERROR(VLOOKUP($I74,'Institution Evaluation'!$A$55:$F$346,3,0),IFERROR(VLOOKUP($I74,'Privacy Analyst Evaluation'!$A$46:$F$120,3,0),""))&amp;""</f>
        <v/>
      </c>
      <c r="L74" s="216" t="str">
        <f ca="1">IFERROR(VLOOKUP($I74,'Institution Evaluation'!$A$55:$F$346,4,0),IFERROR(VLOOKUP($I74,'Privacy Analyst Evaluation'!$A$46:$F$120,4,0),""))&amp;""</f>
        <v/>
      </c>
      <c r="M74" s="216" t="str">
        <f ca="1">IFERROR(VLOOKUP($I74,'Institution Evaluation'!$A$55:$F$346,6,0),IFERROR(VLOOKUP($I74,'Privacy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17">
      <c r="A75" s="216">
        <f>IFERROR(IF($A74+1&gt;'(backend scoring)'!$T$335,"",$A74+1),"")</f>
        <v>51</v>
      </c>
      <c r="B75" s="216" t="e">
        <f ca="1">_xlfn.XLOOKUP($A75,'(backend scoring)'!$V$2:$V$333,'(backend scoring)'!$A$2:$A$333,"")</f>
        <v>#NAME?</v>
      </c>
      <c r="C75" s="216" t="str">
        <f ca="1">IFERROR(VLOOKUP($B75,'Institution Evaluation'!$A$55:$F$346,2,0),IFERROR(VLOOKUP($B75,'Privacy Analyst Evaluation'!$A$46:$F$120,2,0),""))&amp;""</f>
        <v/>
      </c>
      <c r="D75" s="216" t="str">
        <f ca="1">IFERROR(VLOOKUP($B75,'Institution Evaluation'!$A$55:$F$346,3,0),IFERROR(VLOOKUP($B75,'Privacy Analyst Evaluation'!$A$46:$F$120,3,0),""))&amp;""</f>
        <v/>
      </c>
      <c r="E75" s="216" t="str">
        <f ca="1">IFERROR(VLOOKUP($B75,'Institution Evaluation'!$A$55:$F$346,4,0),IFERROR(VLOOKUP($B75,'Privacy Analyst Evaluation'!$A$46:$F$120,4,0),""))&amp;""</f>
        <v/>
      </c>
      <c r="F75" s="216" t="str">
        <f ca="1">IFERROR(VLOOKUP($B75,'Institution Evaluation'!$A$55:$F$346,6,0),IFERROR(VLOOKUP($B75,'Privacy Analyst Evaluation'!$A$46:$F$120,6,0),""))&amp;""</f>
        <v/>
      </c>
      <c r="G75" s="217"/>
      <c r="H75" s="216" t="str">
        <f>IFERROR(IF($H74+1&gt;'(backend scoring)'!$Q$335,"",$H74+1),"")</f>
        <v/>
      </c>
      <c r="I75" s="216" t="e">
        <f ca="1">_xlfn.XLOOKUP($H75,'(backend scoring)'!$S$2:$S$333,'(backend scoring)'!$A$2:$A$333,"")</f>
        <v>#NAME?</v>
      </c>
      <c r="J75" s="216" t="str">
        <f ca="1">IFERROR(VLOOKUP($I75,'Institution Evaluation'!$A$55:$F$346,2,0),IFERROR(VLOOKUP($I75,'Privacy Analyst Evaluation'!$A$46:$F$120,2,0),""))</f>
        <v/>
      </c>
      <c r="K75" s="216" t="str">
        <f ca="1">IFERROR(VLOOKUP($I75,'Institution Evaluation'!$A$55:$F$346,3,0),IFERROR(VLOOKUP($I75,'Privacy Analyst Evaluation'!$A$46:$F$120,3,0),""))&amp;""</f>
        <v/>
      </c>
      <c r="L75" s="216" t="str">
        <f ca="1">IFERROR(VLOOKUP($I75,'Institution Evaluation'!$A$55:$F$346,4,0),IFERROR(VLOOKUP($I75,'Privacy Analyst Evaluation'!$A$46:$F$120,4,0),""))&amp;""</f>
        <v/>
      </c>
      <c r="M75" s="216" t="str">
        <f ca="1">IFERROR(VLOOKUP($I75,'Institution Evaluation'!$A$55:$F$346,6,0),IFERROR(VLOOKUP($I75,'Privacy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17">
      <c r="A76" s="216">
        <f>IFERROR(IF($A75+1&gt;'(backend scoring)'!$T$335,"",$A75+1),"")</f>
        <v>52</v>
      </c>
      <c r="B76" s="216" t="e">
        <f ca="1">_xlfn.XLOOKUP($A76,'(backend scoring)'!$V$2:$V$333,'(backend scoring)'!$A$2:$A$333,"")</f>
        <v>#NAME?</v>
      </c>
      <c r="C76" s="216" t="str">
        <f ca="1">IFERROR(VLOOKUP($B76,'Institution Evaluation'!$A$55:$F$346,2,0),IFERROR(VLOOKUP($B76,'Privacy Analyst Evaluation'!$A$46:$F$120,2,0),""))&amp;""</f>
        <v/>
      </c>
      <c r="D76" s="216" t="str">
        <f ca="1">IFERROR(VLOOKUP($B76,'Institution Evaluation'!$A$55:$F$346,3,0),IFERROR(VLOOKUP($B76,'Privacy Analyst Evaluation'!$A$46:$F$120,3,0),""))&amp;""</f>
        <v/>
      </c>
      <c r="E76" s="216" t="str">
        <f ca="1">IFERROR(VLOOKUP($B76,'Institution Evaluation'!$A$55:$F$346,4,0),IFERROR(VLOOKUP($B76,'Privacy Analyst Evaluation'!$A$46:$F$120,4,0),""))&amp;""</f>
        <v/>
      </c>
      <c r="F76" s="216" t="str">
        <f ca="1">IFERROR(VLOOKUP($B76,'Institution Evaluation'!$A$55:$F$346,6,0),IFERROR(VLOOKUP($B76,'Privacy Analyst Evaluation'!$A$46:$F$120,6,0),""))&amp;""</f>
        <v/>
      </c>
      <c r="G76" s="217"/>
      <c r="H76" s="216" t="str">
        <f>IFERROR(IF($H75+1&gt;'(backend scoring)'!$Q$335,"",$H75+1),"")</f>
        <v/>
      </c>
      <c r="I76" s="216" t="e">
        <f ca="1">_xlfn.XLOOKUP($H76,'(backend scoring)'!$S$2:$S$333,'(backend scoring)'!$A$2:$A$333,"")</f>
        <v>#NAME?</v>
      </c>
      <c r="J76" s="216" t="str">
        <f ca="1">IFERROR(VLOOKUP($I76,'Institution Evaluation'!$A$55:$F$346,2,0),IFERROR(VLOOKUP($I76,'Privacy Analyst Evaluation'!$A$46:$F$120,2,0),""))</f>
        <v/>
      </c>
      <c r="K76" s="216" t="str">
        <f ca="1">IFERROR(VLOOKUP($I76,'Institution Evaluation'!$A$55:$F$346,3,0),IFERROR(VLOOKUP($I76,'Privacy Analyst Evaluation'!$A$46:$F$120,3,0),""))&amp;""</f>
        <v/>
      </c>
      <c r="L76" s="216" t="str">
        <f ca="1">IFERROR(VLOOKUP($I76,'Institution Evaluation'!$A$55:$F$346,4,0),IFERROR(VLOOKUP($I76,'Privacy Analyst Evaluation'!$A$46:$F$120,4,0),""))&amp;""</f>
        <v/>
      </c>
      <c r="M76" s="216" t="str">
        <f ca="1">IFERROR(VLOOKUP($I76,'Institution Evaluation'!$A$55:$F$346,6,0),IFERROR(VLOOKUP($I76,'Privacy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17">
      <c r="A77" s="216">
        <f>IFERROR(IF($A76+1&gt;'(backend scoring)'!$T$335,"",$A76+1),"")</f>
        <v>53</v>
      </c>
      <c r="B77" s="216" t="e">
        <f ca="1">_xlfn.XLOOKUP($A77,'(backend scoring)'!$V$2:$V$333,'(backend scoring)'!$A$2:$A$333,"")</f>
        <v>#NAME?</v>
      </c>
      <c r="C77" s="216" t="str">
        <f ca="1">IFERROR(VLOOKUP($B77,'Institution Evaluation'!$A$55:$F$346,2,0),IFERROR(VLOOKUP($B77,'Privacy Analyst Evaluation'!$A$46:$F$120,2,0),""))&amp;""</f>
        <v/>
      </c>
      <c r="D77" s="216" t="str">
        <f ca="1">IFERROR(VLOOKUP($B77,'Institution Evaluation'!$A$55:$F$346,3,0),IFERROR(VLOOKUP($B77,'Privacy Analyst Evaluation'!$A$46:$F$120,3,0),""))&amp;""</f>
        <v/>
      </c>
      <c r="E77" s="216" t="str">
        <f ca="1">IFERROR(VLOOKUP($B77,'Institution Evaluation'!$A$55:$F$346,4,0),IFERROR(VLOOKUP($B77,'Privacy Analyst Evaluation'!$A$46:$F$120,4,0),""))&amp;""</f>
        <v/>
      </c>
      <c r="F77" s="216" t="str">
        <f ca="1">IFERROR(VLOOKUP($B77,'Institution Evaluation'!$A$55:$F$346,6,0),IFERROR(VLOOKUP($B77,'Privacy Analyst Evaluation'!$A$46:$F$120,6,0),""))&amp;""</f>
        <v/>
      </c>
      <c r="G77" s="217"/>
      <c r="H77" s="216" t="str">
        <f>IFERROR(IF($H76+1&gt;'(backend scoring)'!$Q$335,"",$H76+1),"")</f>
        <v/>
      </c>
      <c r="I77" s="216" t="e">
        <f ca="1">_xlfn.XLOOKUP($H77,'(backend scoring)'!$S$2:$S$333,'(backend scoring)'!$A$2:$A$333,"")</f>
        <v>#NAME?</v>
      </c>
      <c r="J77" s="216" t="str">
        <f ca="1">IFERROR(VLOOKUP($I77,'Institution Evaluation'!$A$55:$F$346,2,0),IFERROR(VLOOKUP($I77,'Privacy Analyst Evaluation'!$A$46:$F$120,2,0),""))</f>
        <v/>
      </c>
      <c r="K77" s="216" t="str">
        <f ca="1">IFERROR(VLOOKUP($I77,'Institution Evaluation'!$A$55:$F$346,3,0),IFERROR(VLOOKUP($I77,'Privacy Analyst Evaluation'!$A$46:$F$120,3,0),""))&amp;""</f>
        <v/>
      </c>
      <c r="L77" s="216" t="str">
        <f ca="1">IFERROR(VLOOKUP($I77,'Institution Evaluation'!$A$55:$F$346,4,0),IFERROR(VLOOKUP($I77,'Privacy Analyst Evaluation'!$A$46:$F$120,4,0),""))&amp;""</f>
        <v/>
      </c>
      <c r="M77" s="216" t="str">
        <f ca="1">IFERROR(VLOOKUP($I77,'Institution Evaluation'!$A$55:$F$346,6,0),IFERROR(VLOOKUP($I77,'Privacy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17">
      <c r="A78" s="216">
        <f>IFERROR(IF($A77+1&gt;'(backend scoring)'!$T$335,"",$A77+1),"")</f>
        <v>54</v>
      </c>
      <c r="B78" s="216" t="e">
        <f ca="1">_xlfn.XLOOKUP($A78,'(backend scoring)'!$V$2:$V$333,'(backend scoring)'!$A$2:$A$333,"")</f>
        <v>#NAME?</v>
      </c>
      <c r="C78" s="216" t="str">
        <f ca="1">IFERROR(VLOOKUP($B78,'Institution Evaluation'!$A$55:$F$346,2,0),IFERROR(VLOOKUP($B78,'Privacy Analyst Evaluation'!$A$46:$F$120,2,0),""))&amp;""</f>
        <v/>
      </c>
      <c r="D78" s="216" t="str">
        <f ca="1">IFERROR(VLOOKUP($B78,'Institution Evaluation'!$A$55:$F$346,3,0),IFERROR(VLOOKUP($B78,'Privacy Analyst Evaluation'!$A$46:$F$120,3,0),""))&amp;""</f>
        <v/>
      </c>
      <c r="E78" s="216" t="str">
        <f ca="1">IFERROR(VLOOKUP($B78,'Institution Evaluation'!$A$55:$F$346,4,0),IFERROR(VLOOKUP($B78,'Privacy Analyst Evaluation'!$A$46:$F$120,4,0),""))&amp;""</f>
        <v/>
      </c>
      <c r="F78" s="216" t="str">
        <f ca="1">IFERROR(VLOOKUP($B78,'Institution Evaluation'!$A$55:$F$346,6,0),IFERROR(VLOOKUP($B78,'Privacy Analyst Evaluation'!$A$46:$F$120,6,0),""))&amp;""</f>
        <v/>
      </c>
      <c r="G78" s="217"/>
      <c r="H78" s="216" t="str">
        <f>IFERROR(IF($H77+1&gt;'(backend scoring)'!$Q$335,"",$H77+1),"")</f>
        <v/>
      </c>
      <c r="I78" s="216" t="e">
        <f ca="1">_xlfn.XLOOKUP($H78,'(backend scoring)'!$S$2:$S$333,'(backend scoring)'!$A$2:$A$333,"")</f>
        <v>#NAME?</v>
      </c>
      <c r="J78" s="216" t="str">
        <f ca="1">IFERROR(VLOOKUP($I78,'Institution Evaluation'!$A$55:$F$346,2,0),IFERROR(VLOOKUP($I78,'Privacy Analyst Evaluation'!$A$46:$F$120,2,0),""))</f>
        <v/>
      </c>
      <c r="K78" s="216" t="str">
        <f ca="1">IFERROR(VLOOKUP($I78,'Institution Evaluation'!$A$55:$F$346,3,0),IFERROR(VLOOKUP($I78,'Privacy Analyst Evaluation'!$A$46:$F$120,3,0),""))&amp;""</f>
        <v/>
      </c>
      <c r="L78" s="216" t="str">
        <f ca="1">IFERROR(VLOOKUP($I78,'Institution Evaluation'!$A$55:$F$346,4,0),IFERROR(VLOOKUP($I78,'Privacy Analyst Evaluation'!$A$46:$F$120,4,0),""))&amp;""</f>
        <v/>
      </c>
      <c r="M78" s="216" t="str">
        <f ca="1">IFERROR(VLOOKUP($I78,'Institution Evaluation'!$A$55:$F$346,6,0),IFERROR(VLOOKUP($I78,'Privacy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17">
      <c r="A79" s="216">
        <f>IFERROR(IF($A78+1&gt;'(backend scoring)'!$T$335,"",$A78+1),"")</f>
        <v>55</v>
      </c>
      <c r="B79" s="216" t="e">
        <f ca="1">_xlfn.XLOOKUP($A79,'(backend scoring)'!$V$2:$V$333,'(backend scoring)'!$A$2:$A$333,"")</f>
        <v>#NAME?</v>
      </c>
      <c r="C79" s="216" t="str">
        <f ca="1">IFERROR(VLOOKUP($B79,'Institution Evaluation'!$A$55:$F$346,2,0),IFERROR(VLOOKUP($B79,'Privacy Analyst Evaluation'!$A$46:$F$120,2,0),""))&amp;""</f>
        <v/>
      </c>
      <c r="D79" s="216" t="str">
        <f ca="1">IFERROR(VLOOKUP($B79,'Institution Evaluation'!$A$55:$F$346,3,0),IFERROR(VLOOKUP($B79,'Privacy Analyst Evaluation'!$A$46:$F$120,3,0),""))&amp;""</f>
        <v/>
      </c>
      <c r="E79" s="216" t="str">
        <f ca="1">IFERROR(VLOOKUP($B79,'Institution Evaluation'!$A$55:$F$346,4,0),IFERROR(VLOOKUP($B79,'Privacy Analyst Evaluation'!$A$46:$F$120,4,0),""))&amp;""</f>
        <v/>
      </c>
      <c r="F79" s="216" t="str">
        <f ca="1">IFERROR(VLOOKUP($B79,'Institution Evaluation'!$A$55:$F$346,6,0),IFERROR(VLOOKUP($B79,'Privacy Analyst Evaluation'!$A$46:$F$120,6,0),""))&amp;""</f>
        <v/>
      </c>
      <c r="G79" s="217"/>
      <c r="H79" s="216" t="str">
        <f>IFERROR(IF($H78+1&gt;'(backend scoring)'!$Q$335,"",$H78+1),"")</f>
        <v/>
      </c>
      <c r="I79" s="216" t="e">
        <f ca="1">_xlfn.XLOOKUP($H79,'(backend scoring)'!$S$2:$S$333,'(backend scoring)'!$A$2:$A$333,"")</f>
        <v>#NAME?</v>
      </c>
      <c r="J79" s="216" t="str">
        <f ca="1">IFERROR(VLOOKUP($I79,'Institution Evaluation'!$A$55:$F$346,2,0),IFERROR(VLOOKUP($I79,'Privacy Analyst Evaluation'!$A$46:$F$120,2,0),""))</f>
        <v/>
      </c>
      <c r="K79" s="216" t="str">
        <f ca="1">IFERROR(VLOOKUP($I79,'Institution Evaluation'!$A$55:$F$346,3,0),IFERROR(VLOOKUP($I79,'Privacy Analyst Evaluation'!$A$46:$F$120,3,0),""))&amp;""</f>
        <v/>
      </c>
      <c r="L79" s="216" t="str">
        <f ca="1">IFERROR(VLOOKUP($I79,'Institution Evaluation'!$A$55:$F$346,4,0),IFERROR(VLOOKUP($I79,'Privacy Analyst Evaluation'!$A$46:$F$120,4,0),""))&amp;""</f>
        <v/>
      </c>
      <c r="M79" s="216" t="str">
        <f ca="1">IFERROR(VLOOKUP($I79,'Institution Evaluation'!$A$55:$F$346,6,0),IFERROR(VLOOKUP($I79,'Privacy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17">
      <c r="A80" s="216">
        <f>IFERROR(IF($A79+1&gt;'(backend scoring)'!$T$335,"",$A79+1),"")</f>
        <v>56</v>
      </c>
      <c r="B80" s="216" t="e">
        <f ca="1">_xlfn.XLOOKUP($A80,'(backend scoring)'!$V$2:$V$333,'(backend scoring)'!$A$2:$A$333,"")</f>
        <v>#NAME?</v>
      </c>
      <c r="C80" s="216" t="str">
        <f ca="1">IFERROR(VLOOKUP($B80,'Institution Evaluation'!$A$55:$F$346,2,0),IFERROR(VLOOKUP($B80,'Privacy Analyst Evaluation'!$A$46:$F$120,2,0),""))&amp;""</f>
        <v/>
      </c>
      <c r="D80" s="216" t="str">
        <f ca="1">IFERROR(VLOOKUP($B80,'Institution Evaluation'!$A$55:$F$346,3,0),IFERROR(VLOOKUP($B80,'Privacy Analyst Evaluation'!$A$46:$F$120,3,0),""))&amp;""</f>
        <v/>
      </c>
      <c r="E80" s="216" t="str">
        <f ca="1">IFERROR(VLOOKUP($B80,'Institution Evaluation'!$A$55:$F$346,4,0),IFERROR(VLOOKUP($B80,'Privacy Analyst Evaluation'!$A$46:$F$120,4,0),""))&amp;""</f>
        <v/>
      </c>
      <c r="F80" s="216" t="str">
        <f ca="1">IFERROR(VLOOKUP($B80,'Institution Evaluation'!$A$55:$F$346,6,0),IFERROR(VLOOKUP($B80,'Privacy Analyst Evaluation'!$A$46:$F$120,6,0),""))&amp;""</f>
        <v/>
      </c>
      <c r="G80" s="217"/>
      <c r="H80" s="216" t="str">
        <f>IFERROR(IF($H79+1&gt;'(backend scoring)'!$Q$335,"",$H79+1),"")</f>
        <v/>
      </c>
      <c r="I80" s="216" t="e">
        <f ca="1">_xlfn.XLOOKUP($H80,'(backend scoring)'!$S$2:$S$333,'(backend scoring)'!$A$2:$A$333,"")</f>
        <v>#NAME?</v>
      </c>
      <c r="J80" s="216" t="str">
        <f ca="1">IFERROR(VLOOKUP($I80,'Institution Evaluation'!$A$55:$F$346,2,0),IFERROR(VLOOKUP($I80,'Privacy Analyst Evaluation'!$A$46:$F$120,2,0),""))</f>
        <v/>
      </c>
      <c r="K80" s="216" t="str">
        <f ca="1">IFERROR(VLOOKUP($I80,'Institution Evaluation'!$A$55:$F$346,3,0),IFERROR(VLOOKUP($I80,'Privacy Analyst Evaluation'!$A$46:$F$120,3,0),""))&amp;""</f>
        <v/>
      </c>
      <c r="L80" s="216" t="str">
        <f ca="1">IFERROR(VLOOKUP($I80,'Institution Evaluation'!$A$55:$F$346,4,0),IFERROR(VLOOKUP($I80,'Privacy Analyst Evaluation'!$A$46:$F$120,4,0),""))&amp;""</f>
        <v/>
      </c>
      <c r="M80" s="216" t="str">
        <f ca="1">IFERROR(VLOOKUP($I80,'Institution Evaluation'!$A$55:$F$346,6,0),IFERROR(VLOOKUP($I80,'Privacy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17">
      <c r="A81" s="216">
        <f>IFERROR(IF($A80+1&gt;'(backend scoring)'!$T$335,"",$A80+1),"")</f>
        <v>57</v>
      </c>
      <c r="B81" s="216" t="e">
        <f ca="1">_xlfn.XLOOKUP($A81,'(backend scoring)'!$V$2:$V$333,'(backend scoring)'!$A$2:$A$333,"")</f>
        <v>#NAME?</v>
      </c>
      <c r="C81" s="216" t="str">
        <f ca="1">IFERROR(VLOOKUP($B81,'Institution Evaluation'!$A$55:$F$346,2,0),IFERROR(VLOOKUP($B81,'Privacy Analyst Evaluation'!$A$46:$F$120,2,0),""))&amp;""</f>
        <v/>
      </c>
      <c r="D81" s="216" t="str">
        <f ca="1">IFERROR(VLOOKUP($B81,'Institution Evaluation'!$A$55:$F$346,3,0),IFERROR(VLOOKUP($B81,'Privacy Analyst Evaluation'!$A$46:$F$120,3,0),""))&amp;""</f>
        <v/>
      </c>
      <c r="E81" s="216" t="str">
        <f ca="1">IFERROR(VLOOKUP($B81,'Institution Evaluation'!$A$55:$F$346,4,0),IFERROR(VLOOKUP($B81,'Privacy Analyst Evaluation'!$A$46:$F$120,4,0),""))&amp;""</f>
        <v/>
      </c>
      <c r="F81" s="216" t="str">
        <f ca="1">IFERROR(VLOOKUP($B81,'Institution Evaluation'!$A$55:$F$346,6,0),IFERROR(VLOOKUP($B81,'Privacy Analyst Evaluation'!$A$46:$F$120,6,0),""))&amp;""</f>
        <v/>
      </c>
      <c r="G81" s="217"/>
      <c r="H81" s="216" t="str">
        <f>IFERROR(IF($H80+1&gt;'(backend scoring)'!$Q$335,"",$H80+1),"")</f>
        <v/>
      </c>
      <c r="I81" s="216" t="e">
        <f ca="1">_xlfn.XLOOKUP($H81,'(backend scoring)'!$S$2:$S$333,'(backend scoring)'!$A$2:$A$333,"")</f>
        <v>#NAME?</v>
      </c>
      <c r="J81" s="216" t="str">
        <f ca="1">IFERROR(VLOOKUP($I81,'Institution Evaluation'!$A$55:$F$346,2,0),IFERROR(VLOOKUP($I81,'Privacy Analyst Evaluation'!$A$46:$F$120,2,0),""))</f>
        <v/>
      </c>
      <c r="K81" s="216" t="str">
        <f ca="1">IFERROR(VLOOKUP($I81,'Institution Evaluation'!$A$55:$F$346,3,0),IFERROR(VLOOKUP($I81,'Privacy Analyst Evaluation'!$A$46:$F$120,3,0),""))&amp;""</f>
        <v/>
      </c>
      <c r="L81" s="216" t="str">
        <f ca="1">IFERROR(VLOOKUP($I81,'Institution Evaluation'!$A$55:$F$346,4,0),IFERROR(VLOOKUP($I81,'Privacy Analyst Evaluation'!$A$46:$F$120,4,0),""))&amp;""</f>
        <v/>
      </c>
      <c r="M81" s="216" t="str">
        <f ca="1">IFERROR(VLOOKUP($I81,'Institution Evaluation'!$A$55:$F$346,6,0),IFERROR(VLOOKUP($I81,'Privacy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17">
      <c r="A82" s="216">
        <f>IFERROR(IF($A81+1&gt;'(backend scoring)'!$T$335,"",$A81+1),"")</f>
        <v>58</v>
      </c>
      <c r="B82" s="216" t="e">
        <f ca="1">_xlfn.XLOOKUP($A82,'(backend scoring)'!$V$2:$V$333,'(backend scoring)'!$A$2:$A$333,"")</f>
        <v>#NAME?</v>
      </c>
      <c r="C82" s="216" t="str">
        <f ca="1">IFERROR(VLOOKUP($B82,'Institution Evaluation'!$A$55:$F$346,2,0),IFERROR(VLOOKUP($B82,'Privacy Analyst Evaluation'!$A$46:$F$120,2,0),""))&amp;""</f>
        <v/>
      </c>
      <c r="D82" s="216" t="str">
        <f ca="1">IFERROR(VLOOKUP($B82,'Institution Evaluation'!$A$55:$F$346,3,0),IFERROR(VLOOKUP($B82,'Privacy Analyst Evaluation'!$A$46:$F$120,3,0),""))&amp;""</f>
        <v/>
      </c>
      <c r="E82" s="216" t="str">
        <f ca="1">IFERROR(VLOOKUP($B82,'Institution Evaluation'!$A$55:$F$346,4,0),IFERROR(VLOOKUP($B82,'Privacy Analyst Evaluation'!$A$46:$F$120,4,0),""))&amp;""</f>
        <v/>
      </c>
      <c r="F82" s="216" t="str">
        <f ca="1">IFERROR(VLOOKUP($B82,'Institution Evaluation'!$A$55:$F$346,6,0),IFERROR(VLOOKUP($B82,'Privacy Analyst Evaluation'!$A$46:$F$120,6,0),""))&amp;""</f>
        <v/>
      </c>
      <c r="G82" s="217"/>
      <c r="H82" s="216" t="str">
        <f>IFERROR(IF($H81+1&gt;'(backend scoring)'!$Q$335,"",$H81+1),"")</f>
        <v/>
      </c>
      <c r="I82" s="216" t="e">
        <f ca="1">_xlfn.XLOOKUP($H82,'(backend scoring)'!$S$2:$S$333,'(backend scoring)'!$A$2:$A$333,"")</f>
        <v>#NAME?</v>
      </c>
      <c r="J82" s="216" t="str">
        <f ca="1">IFERROR(VLOOKUP($I82,'Institution Evaluation'!$A$55:$F$346,2,0),IFERROR(VLOOKUP($I82,'Privacy Analyst Evaluation'!$A$46:$F$120,2,0),""))</f>
        <v/>
      </c>
      <c r="K82" s="216" t="str">
        <f ca="1">IFERROR(VLOOKUP($I82,'Institution Evaluation'!$A$55:$F$346,3,0),IFERROR(VLOOKUP($I82,'Privacy Analyst Evaluation'!$A$46:$F$120,3,0),""))&amp;""</f>
        <v/>
      </c>
      <c r="L82" s="216" t="str">
        <f ca="1">IFERROR(VLOOKUP($I82,'Institution Evaluation'!$A$55:$F$346,4,0),IFERROR(VLOOKUP($I82,'Privacy Analyst Evaluation'!$A$46:$F$120,4,0),""))&amp;""</f>
        <v/>
      </c>
      <c r="M82" s="216" t="str">
        <f ca="1">IFERROR(VLOOKUP($I82,'Institution Evaluation'!$A$55:$F$346,6,0),IFERROR(VLOOKUP($I82,'Privacy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17">
      <c r="A83" s="216">
        <f>IFERROR(IF($A82+1&gt;'(backend scoring)'!$T$335,"",$A82+1),"")</f>
        <v>59</v>
      </c>
      <c r="B83" s="216" t="e">
        <f ca="1">_xlfn.XLOOKUP($A83,'(backend scoring)'!$V$2:$V$333,'(backend scoring)'!$A$2:$A$333,"")</f>
        <v>#NAME?</v>
      </c>
      <c r="C83" s="216" t="str">
        <f ca="1">IFERROR(VLOOKUP($B83,'Institution Evaluation'!$A$55:$F$346,2,0),IFERROR(VLOOKUP($B83,'Privacy Analyst Evaluation'!$A$46:$F$120,2,0),""))&amp;""</f>
        <v/>
      </c>
      <c r="D83" s="216" t="str">
        <f ca="1">IFERROR(VLOOKUP($B83,'Institution Evaluation'!$A$55:$F$346,3,0),IFERROR(VLOOKUP($B83,'Privacy Analyst Evaluation'!$A$46:$F$120,3,0),""))&amp;""</f>
        <v/>
      </c>
      <c r="E83" s="216" t="str">
        <f ca="1">IFERROR(VLOOKUP($B83,'Institution Evaluation'!$A$55:$F$346,4,0),IFERROR(VLOOKUP($B83,'Privacy Analyst Evaluation'!$A$46:$F$120,4,0),""))&amp;""</f>
        <v/>
      </c>
      <c r="F83" s="216" t="str">
        <f ca="1">IFERROR(VLOOKUP($B83,'Institution Evaluation'!$A$55:$F$346,6,0),IFERROR(VLOOKUP($B83,'Privacy Analyst Evaluation'!$A$46:$F$120,6,0),""))&amp;""</f>
        <v/>
      </c>
      <c r="G83" s="217"/>
      <c r="H83" s="216" t="str">
        <f>IFERROR(IF($H82+1&gt;'(backend scoring)'!$Q$335,"",$H82+1),"")</f>
        <v/>
      </c>
      <c r="I83" s="216" t="e">
        <f ca="1">_xlfn.XLOOKUP($H83,'(backend scoring)'!$S$2:$S$333,'(backend scoring)'!$A$2:$A$333,"")</f>
        <v>#NAME?</v>
      </c>
      <c r="J83" s="216" t="str">
        <f ca="1">IFERROR(VLOOKUP($I83,'Institution Evaluation'!$A$55:$F$346,2,0),IFERROR(VLOOKUP($I83,'Privacy Analyst Evaluation'!$A$46:$F$120,2,0),""))</f>
        <v/>
      </c>
      <c r="K83" s="216" t="str">
        <f ca="1">IFERROR(VLOOKUP($I83,'Institution Evaluation'!$A$55:$F$346,3,0),IFERROR(VLOOKUP($I83,'Privacy Analyst Evaluation'!$A$46:$F$120,3,0),""))&amp;""</f>
        <v/>
      </c>
      <c r="L83" s="216" t="str">
        <f ca="1">IFERROR(VLOOKUP($I83,'Institution Evaluation'!$A$55:$F$346,4,0),IFERROR(VLOOKUP($I83,'Privacy Analyst Evaluation'!$A$46:$F$120,4,0),""))&amp;""</f>
        <v/>
      </c>
      <c r="M83" s="216" t="str">
        <f ca="1">IFERROR(VLOOKUP($I83,'Institution Evaluation'!$A$55:$F$346,6,0),IFERROR(VLOOKUP($I83,'Privacy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17">
      <c r="A84" s="216">
        <f>IFERROR(IF($A83+1&gt;'(backend scoring)'!$T$335,"",$A83+1),"")</f>
        <v>60</v>
      </c>
      <c r="B84" s="216" t="e">
        <f ca="1">_xlfn.XLOOKUP($A84,'(backend scoring)'!$V$2:$V$333,'(backend scoring)'!$A$2:$A$333,"")</f>
        <v>#NAME?</v>
      </c>
      <c r="C84" s="216" t="str">
        <f ca="1">IFERROR(VLOOKUP($B84,'Institution Evaluation'!$A$55:$F$346,2,0),IFERROR(VLOOKUP($B84,'Privacy Analyst Evaluation'!$A$46:$F$120,2,0),""))&amp;""</f>
        <v/>
      </c>
      <c r="D84" s="216" t="str">
        <f ca="1">IFERROR(VLOOKUP($B84,'Institution Evaluation'!$A$55:$F$346,3,0),IFERROR(VLOOKUP($B84,'Privacy Analyst Evaluation'!$A$46:$F$120,3,0),""))&amp;""</f>
        <v/>
      </c>
      <c r="E84" s="216" t="str">
        <f ca="1">IFERROR(VLOOKUP($B84,'Institution Evaluation'!$A$55:$F$346,4,0),IFERROR(VLOOKUP($B84,'Privacy Analyst Evaluation'!$A$46:$F$120,4,0),""))&amp;""</f>
        <v/>
      </c>
      <c r="F84" s="216" t="str">
        <f ca="1">IFERROR(VLOOKUP($B84,'Institution Evaluation'!$A$55:$F$346,6,0),IFERROR(VLOOKUP($B84,'Privacy Analyst Evaluation'!$A$46:$F$120,6,0),""))&amp;""</f>
        <v/>
      </c>
      <c r="G84" s="217"/>
      <c r="H84" s="216" t="str">
        <f>IFERROR(IF($H83+1&gt;'(backend scoring)'!$Q$335,"",$H83+1),"")</f>
        <v/>
      </c>
      <c r="I84" s="216" t="e">
        <f ca="1">_xlfn.XLOOKUP($H84,'(backend scoring)'!$S$2:$S$333,'(backend scoring)'!$A$2:$A$333,"")</f>
        <v>#NAME?</v>
      </c>
      <c r="J84" s="216" t="str">
        <f ca="1">IFERROR(VLOOKUP($I84,'Institution Evaluation'!$A$55:$F$346,2,0),IFERROR(VLOOKUP($I84,'Privacy Analyst Evaluation'!$A$46:$F$120,2,0),""))</f>
        <v/>
      </c>
      <c r="K84" s="216" t="str">
        <f ca="1">IFERROR(VLOOKUP($I84,'Institution Evaluation'!$A$55:$F$346,3,0),IFERROR(VLOOKUP($I84,'Privacy Analyst Evaluation'!$A$46:$F$120,3,0),""))&amp;""</f>
        <v/>
      </c>
      <c r="L84" s="216" t="str">
        <f ca="1">IFERROR(VLOOKUP($I84,'Institution Evaluation'!$A$55:$F$346,4,0),IFERROR(VLOOKUP($I84,'Privacy Analyst Evaluation'!$A$46:$F$120,4,0),""))&amp;""</f>
        <v/>
      </c>
      <c r="M84" s="216" t="str">
        <f ca="1">IFERROR(VLOOKUP($I84,'Institution Evaluation'!$A$55:$F$346,6,0),IFERROR(VLOOKUP($I84,'Privacy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17">
      <c r="A85" s="216">
        <f>IFERROR(IF($A84+1&gt;'(backend scoring)'!$T$335,"",$A84+1),"")</f>
        <v>61</v>
      </c>
      <c r="B85" s="216" t="e">
        <f ca="1">_xlfn.XLOOKUP($A85,'(backend scoring)'!$V$2:$V$333,'(backend scoring)'!$A$2:$A$333,"")</f>
        <v>#NAME?</v>
      </c>
      <c r="C85" s="216" t="str">
        <f ca="1">IFERROR(VLOOKUP($B85,'Institution Evaluation'!$A$55:$F$346,2,0),IFERROR(VLOOKUP($B85,'Privacy Analyst Evaluation'!$A$46:$F$120,2,0),""))&amp;""</f>
        <v/>
      </c>
      <c r="D85" s="216" t="str">
        <f ca="1">IFERROR(VLOOKUP($B85,'Institution Evaluation'!$A$55:$F$346,3,0),IFERROR(VLOOKUP($B85,'Privacy Analyst Evaluation'!$A$46:$F$120,3,0),""))&amp;""</f>
        <v/>
      </c>
      <c r="E85" s="216" t="str">
        <f ca="1">IFERROR(VLOOKUP($B85,'Institution Evaluation'!$A$55:$F$346,4,0),IFERROR(VLOOKUP($B85,'Privacy Analyst Evaluation'!$A$46:$F$120,4,0),""))&amp;""</f>
        <v/>
      </c>
      <c r="F85" s="216" t="str">
        <f ca="1">IFERROR(VLOOKUP($B85,'Institution Evaluation'!$A$55:$F$346,6,0),IFERROR(VLOOKUP($B85,'Privacy Analyst Evaluation'!$A$46:$F$120,6,0),""))&amp;""</f>
        <v/>
      </c>
      <c r="G85" s="217"/>
      <c r="H85" s="216" t="str">
        <f>IFERROR(IF($H84+1&gt;'(backend scoring)'!$Q$335,"",$H84+1),"")</f>
        <v/>
      </c>
      <c r="I85" s="216" t="e">
        <f ca="1">_xlfn.XLOOKUP($H85,'(backend scoring)'!$S$2:$S$333,'(backend scoring)'!$A$2:$A$333,"")</f>
        <v>#NAME?</v>
      </c>
      <c r="J85" s="216" t="str">
        <f ca="1">IFERROR(VLOOKUP($I85,'Institution Evaluation'!$A$55:$F$346,2,0),IFERROR(VLOOKUP($I85,'Privacy Analyst Evaluation'!$A$46:$F$120,2,0),""))</f>
        <v/>
      </c>
      <c r="K85" s="216" t="str">
        <f ca="1">IFERROR(VLOOKUP($I85,'Institution Evaluation'!$A$55:$F$346,3,0),IFERROR(VLOOKUP($I85,'Privacy Analyst Evaluation'!$A$46:$F$120,3,0),""))&amp;""</f>
        <v/>
      </c>
      <c r="L85" s="216" t="str">
        <f ca="1">IFERROR(VLOOKUP($I85,'Institution Evaluation'!$A$55:$F$346,4,0),IFERROR(VLOOKUP($I85,'Privacy Analyst Evaluation'!$A$46:$F$120,4,0),""))&amp;""</f>
        <v/>
      </c>
      <c r="M85" s="216" t="str">
        <f ca="1">IFERROR(VLOOKUP($I85,'Institution Evaluation'!$A$55:$F$346,6,0),IFERROR(VLOOKUP($I85,'Privacy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17">
      <c r="A86" s="216">
        <f>IFERROR(IF($A85+1&gt;'(backend scoring)'!$T$335,"",$A85+1),"")</f>
        <v>62</v>
      </c>
      <c r="B86" s="216" t="e">
        <f ca="1">_xlfn.XLOOKUP($A86,'(backend scoring)'!$V$2:$V$333,'(backend scoring)'!$A$2:$A$333,"")</f>
        <v>#NAME?</v>
      </c>
      <c r="C86" s="216" t="str">
        <f ca="1">IFERROR(VLOOKUP($B86,'Institution Evaluation'!$A$55:$F$346,2,0),IFERROR(VLOOKUP($B86,'Privacy Analyst Evaluation'!$A$46:$F$120,2,0),""))&amp;""</f>
        <v/>
      </c>
      <c r="D86" s="216" t="str">
        <f ca="1">IFERROR(VLOOKUP($B86,'Institution Evaluation'!$A$55:$F$346,3,0),IFERROR(VLOOKUP($B86,'Privacy Analyst Evaluation'!$A$46:$F$120,3,0),""))&amp;""</f>
        <v/>
      </c>
      <c r="E86" s="216" t="str">
        <f ca="1">IFERROR(VLOOKUP($B86,'Institution Evaluation'!$A$55:$F$346,4,0),IFERROR(VLOOKUP($B86,'Privacy Analyst Evaluation'!$A$46:$F$120,4,0),""))&amp;""</f>
        <v/>
      </c>
      <c r="F86" s="216" t="str">
        <f ca="1">IFERROR(VLOOKUP($B86,'Institution Evaluation'!$A$55:$F$346,6,0),IFERROR(VLOOKUP($B86,'Privacy Analyst Evaluation'!$A$46:$F$120,6,0),""))&amp;""</f>
        <v/>
      </c>
      <c r="G86" s="217"/>
      <c r="H86" s="216" t="str">
        <f>IFERROR(IF($H85+1&gt;'(backend scoring)'!$Q$335,"",$H85+1),"")</f>
        <v/>
      </c>
      <c r="I86" s="216" t="e">
        <f ca="1">_xlfn.XLOOKUP($H86,'(backend scoring)'!$S$2:$S$333,'(backend scoring)'!$A$2:$A$333,"")</f>
        <v>#NAME?</v>
      </c>
      <c r="J86" s="216" t="str">
        <f ca="1">IFERROR(VLOOKUP($I86,'Institution Evaluation'!$A$55:$F$346,2,0),IFERROR(VLOOKUP($I86,'Privacy Analyst Evaluation'!$A$46:$F$120,2,0),""))</f>
        <v/>
      </c>
      <c r="K86" s="216" t="str">
        <f ca="1">IFERROR(VLOOKUP($I86,'Institution Evaluation'!$A$55:$F$346,3,0),IFERROR(VLOOKUP($I86,'Privacy Analyst Evaluation'!$A$46:$F$120,3,0),""))&amp;""</f>
        <v/>
      </c>
      <c r="L86" s="216" t="str">
        <f ca="1">IFERROR(VLOOKUP($I86,'Institution Evaluation'!$A$55:$F$346,4,0),IFERROR(VLOOKUP($I86,'Privacy Analyst Evaluation'!$A$46:$F$120,4,0),""))&amp;""</f>
        <v/>
      </c>
      <c r="M86" s="216" t="str">
        <f ca="1">IFERROR(VLOOKUP($I86,'Institution Evaluation'!$A$55:$F$346,6,0),IFERROR(VLOOKUP($I86,'Privacy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17">
      <c r="A87" s="216">
        <f>IFERROR(IF($A86+1&gt;'(backend scoring)'!$T$335,"",$A86+1),"")</f>
        <v>63</v>
      </c>
      <c r="B87" s="216" t="e">
        <f ca="1">_xlfn.XLOOKUP($A87,'(backend scoring)'!$V$2:$V$333,'(backend scoring)'!$A$2:$A$333,"")</f>
        <v>#NAME?</v>
      </c>
      <c r="C87" s="216" t="str">
        <f ca="1">IFERROR(VLOOKUP($B87,'Institution Evaluation'!$A$55:$F$346,2,0),IFERROR(VLOOKUP($B87,'Privacy Analyst Evaluation'!$A$46:$F$120,2,0),""))&amp;""</f>
        <v/>
      </c>
      <c r="D87" s="216" t="str">
        <f ca="1">IFERROR(VLOOKUP($B87,'Institution Evaluation'!$A$55:$F$346,3,0),IFERROR(VLOOKUP($B87,'Privacy Analyst Evaluation'!$A$46:$F$120,3,0),""))&amp;""</f>
        <v/>
      </c>
      <c r="E87" s="216" t="str">
        <f ca="1">IFERROR(VLOOKUP($B87,'Institution Evaluation'!$A$55:$F$346,4,0),IFERROR(VLOOKUP($B87,'Privacy Analyst Evaluation'!$A$46:$F$120,4,0),""))&amp;""</f>
        <v/>
      </c>
      <c r="F87" s="216" t="str">
        <f ca="1">IFERROR(VLOOKUP($B87,'Institution Evaluation'!$A$55:$F$346,6,0),IFERROR(VLOOKUP($B87,'Privacy Analyst Evaluation'!$A$46:$F$120,6,0),""))&amp;""</f>
        <v/>
      </c>
      <c r="G87" s="217"/>
      <c r="H87" s="216" t="str">
        <f>IFERROR(IF($H86+1&gt;'(backend scoring)'!$Q$335,"",$H86+1),"")</f>
        <v/>
      </c>
      <c r="I87" s="216" t="e">
        <f ca="1">_xlfn.XLOOKUP($H87,'(backend scoring)'!$S$2:$S$333,'(backend scoring)'!$A$2:$A$333,"")</f>
        <v>#NAME?</v>
      </c>
      <c r="J87" s="216" t="str">
        <f ca="1">IFERROR(VLOOKUP($I87,'Institution Evaluation'!$A$55:$F$346,2,0),IFERROR(VLOOKUP($I87,'Privacy Analyst Evaluation'!$A$46:$F$120,2,0),""))</f>
        <v/>
      </c>
      <c r="K87" s="216" t="str">
        <f ca="1">IFERROR(VLOOKUP($I87,'Institution Evaluation'!$A$55:$F$346,3,0),IFERROR(VLOOKUP($I87,'Privacy Analyst Evaluation'!$A$46:$F$120,3,0),""))&amp;""</f>
        <v/>
      </c>
      <c r="L87" s="216" t="str">
        <f ca="1">IFERROR(VLOOKUP($I87,'Institution Evaluation'!$A$55:$F$346,4,0),IFERROR(VLOOKUP($I87,'Privacy Analyst Evaluation'!$A$46:$F$120,4,0),""))&amp;""</f>
        <v/>
      </c>
      <c r="M87" s="216" t="str">
        <f ca="1">IFERROR(VLOOKUP($I87,'Institution Evaluation'!$A$55:$F$346,6,0),IFERROR(VLOOKUP($I87,'Privacy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17">
      <c r="A88" s="216">
        <f>IFERROR(IF($A87+1&gt;'(backend scoring)'!$T$335,"",$A87+1),"")</f>
        <v>64</v>
      </c>
      <c r="B88" s="216" t="e">
        <f ca="1">_xlfn.XLOOKUP($A88,'(backend scoring)'!$V$2:$V$333,'(backend scoring)'!$A$2:$A$333,"")</f>
        <v>#NAME?</v>
      </c>
      <c r="C88" s="216" t="str">
        <f ca="1">IFERROR(VLOOKUP($B88,'Institution Evaluation'!$A$55:$F$346,2,0),IFERROR(VLOOKUP($B88,'Privacy Analyst Evaluation'!$A$46:$F$120,2,0),""))&amp;""</f>
        <v/>
      </c>
      <c r="D88" s="216" t="str">
        <f ca="1">IFERROR(VLOOKUP($B88,'Institution Evaluation'!$A$55:$F$346,3,0),IFERROR(VLOOKUP($B88,'Privacy Analyst Evaluation'!$A$46:$F$120,3,0),""))&amp;""</f>
        <v/>
      </c>
      <c r="E88" s="216" t="str">
        <f ca="1">IFERROR(VLOOKUP($B88,'Institution Evaluation'!$A$55:$F$346,4,0),IFERROR(VLOOKUP($B88,'Privacy Analyst Evaluation'!$A$46:$F$120,4,0),""))&amp;""</f>
        <v/>
      </c>
      <c r="F88" s="216" t="str">
        <f ca="1">IFERROR(VLOOKUP($B88,'Institution Evaluation'!$A$55:$F$346,6,0),IFERROR(VLOOKUP($B88,'Privacy Analyst Evaluation'!$A$46:$F$120,6,0),""))&amp;""</f>
        <v/>
      </c>
      <c r="G88" s="217"/>
      <c r="H88" s="216" t="str">
        <f>IFERROR(IF($H87+1&gt;'(backend scoring)'!$Q$335,"",$H87+1),"")</f>
        <v/>
      </c>
      <c r="I88" s="216" t="e">
        <f ca="1">_xlfn.XLOOKUP($H88,'(backend scoring)'!$S$2:$S$333,'(backend scoring)'!$A$2:$A$333,"")</f>
        <v>#NAME?</v>
      </c>
      <c r="J88" s="216" t="str">
        <f ca="1">IFERROR(VLOOKUP($I88,'Institution Evaluation'!$A$55:$F$346,2,0),IFERROR(VLOOKUP($I88,'Privacy Analyst Evaluation'!$A$46:$F$120,2,0),""))</f>
        <v/>
      </c>
      <c r="K88" s="216" t="str">
        <f ca="1">IFERROR(VLOOKUP($I88,'Institution Evaluation'!$A$55:$F$346,3,0),IFERROR(VLOOKUP($I88,'Privacy Analyst Evaluation'!$A$46:$F$120,3,0),""))&amp;""</f>
        <v/>
      </c>
      <c r="L88" s="216" t="str">
        <f ca="1">IFERROR(VLOOKUP($I88,'Institution Evaluation'!$A$55:$F$346,4,0),IFERROR(VLOOKUP($I88,'Privacy Analyst Evaluation'!$A$46:$F$120,4,0),""))&amp;""</f>
        <v/>
      </c>
      <c r="M88" s="216" t="str">
        <f ca="1">IFERROR(VLOOKUP($I88,'Institution Evaluation'!$A$55:$F$346,6,0),IFERROR(VLOOKUP($I88,'Privacy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17">
      <c r="A89" s="216">
        <f>IFERROR(IF($A88+1&gt;'(backend scoring)'!$T$335,"",$A88+1),"")</f>
        <v>65</v>
      </c>
      <c r="B89" s="216" t="e">
        <f ca="1">_xlfn.XLOOKUP($A89,'(backend scoring)'!$V$2:$V$333,'(backend scoring)'!$A$2:$A$333,"")</f>
        <v>#NAME?</v>
      </c>
      <c r="C89" s="216" t="str">
        <f ca="1">IFERROR(VLOOKUP($B89,'Institution Evaluation'!$A$55:$F$346,2,0),IFERROR(VLOOKUP($B89,'Privacy Analyst Evaluation'!$A$46:$F$120,2,0),""))&amp;""</f>
        <v/>
      </c>
      <c r="D89" s="216" t="str">
        <f ca="1">IFERROR(VLOOKUP($B89,'Institution Evaluation'!$A$55:$F$346,3,0),IFERROR(VLOOKUP($B89,'Privacy Analyst Evaluation'!$A$46:$F$120,3,0),""))&amp;""</f>
        <v/>
      </c>
      <c r="E89" s="216" t="str">
        <f ca="1">IFERROR(VLOOKUP($B89,'Institution Evaluation'!$A$55:$F$346,4,0),IFERROR(VLOOKUP($B89,'Privacy Analyst Evaluation'!$A$46:$F$120,4,0),""))&amp;""</f>
        <v/>
      </c>
      <c r="F89" s="216" t="str">
        <f ca="1">IFERROR(VLOOKUP($B89,'Institution Evaluation'!$A$55:$F$346,6,0),IFERROR(VLOOKUP($B89,'Privacy Analyst Evaluation'!$A$46:$F$120,6,0),""))&amp;""</f>
        <v/>
      </c>
      <c r="G89" s="217"/>
      <c r="H89" s="216" t="str">
        <f>IFERROR(IF($H88+1&gt;'(backend scoring)'!$Q$335,"",$H88+1),"")</f>
        <v/>
      </c>
      <c r="I89" s="216" t="e">
        <f ca="1">_xlfn.XLOOKUP($H89,'(backend scoring)'!$S$2:$S$333,'(backend scoring)'!$A$2:$A$333,"")</f>
        <v>#NAME?</v>
      </c>
      <c r="J89" s="216" t="str">
        <f ca="1">IFERROR(VLOOKUP($I89,'Institution Evaluation'!$A$55:$F$346,2,0),IFERROR(VLOOKUP($I89,'Privacy Analyst Evaluation'!$A$46:$F$120,2,0),""))</f>
        <v/>
      </c>
      <c r="K89" s="216" t="str">
        <f ca="1">IFERROR(VLOOKUP($I89,'Institution Evaluation'!$A$55:$F$346,3,0),IFERROR(VLOOKUP($I89,'Privacy Analyst Evaluation'!$A$46:$F$120,3,0),""))&amp;""</f>
        <v/>
      </c>
      <c r="L89" s="216" t="str">
        <f ca="1">IFERROR(VLOOKUP($I89,'Institution Evaluation'!$A$55:$F$346,4,0),IFERROR(VLOOKUP($I89,'Privacy Analyst Evaluation'!$A$46:$F$120,4,0),""))&amp;""</f>
        <v/>
      </c>
      <c r="M89" s="216" t="str">
        <f ca="1">IFERROR(VLOOKUP($I89,'Institution Evaluation'!$A$55:$F$346,6,0),IFERROR(VLOOKUP($I89,'Privacy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17">
      <c r="A90" s="216">
        <f>IFERROR(IF($A89+1&gt;'(backend scoring)'!$T$335,"",$A89+1),"")</f>
        <v>66</v>
      </c>
      <c r="B90" s="216" t="e">
        <f ca="1">_xlfn.XLOOKUP($A90,'(backend scoring)'!$V$2:$V$333,'(backend scoring)'!$A$2:$A$333,"")</f>
        <v>#NAME?</v>
      </c>
      <c r="C90" s="216" t="str">
        <f ca="1">IFERROR(VLOOKUP($B90,'Institution Evaluation'!$A$55:$F$346,2,0),IFERROR(VLOOKUP($B90,'Privacy Analyst Evaluation'!$A$46:$F$120,2,0),""))&amp;""</f>
        <v/>
      </c>
      <c r="D90" s="216" t="str">
        <f ca="1">IFERROR(VLOOKUP($B90,'Institution Evaluation'!$A$55:$F$346,3,0),IFERROR(VLOOKUP($B90,'Privacy Analyst Evaluation'!$A$46:$F$120,3,0),""))&amp;""</f>
        <v/>
      </c>
      <c r="E90" s="216" t="str">
        <f ca="1">IFERROR(VLOOKUP($B90,'Institution Evaluation'!$A$55:$F$346,4,0),IFERROR(VLOOKUP($B90,'Privacy Analyst Evaluation'!$A$46:$F$120,4,0),""))&amp;""</f>
        <v/>
      </c>
      <c r="F90" s="216" t="str">
        <f ca="1">IFERROR(VLOOKUP($B90,'Institution Evaluation'!$A$55:$F$346,6,0),IFERROR(VLOOKUP($B90,'Privacy Analyst Evaluation'!$A$46:$F$120,6,0),""))&amp;""</f>
        <v/>
      </c>
      <c r="G90" s="217"/>
      <c r="H90" s="216" t="str">
        <f>IFERROR(IF($H89+1&gt;'(backend scoring)'!$Q$335,"",$H89+1),"")</f>
        <v/>
      </c>
      <c r="I90" s="216" t="e">
        <f ca="1">_xlfn.XLOOKUP($H90,'(backend scoring)'!$S$2:$S$333,'(backend scoring)'!$A$2:$A$333,"")</f>
        <v>#NAME?</v>
      </c>
      <c r="J90" s="216" t="str">
        <f ca="1">IFERROR(VLOOKUP($I90,'Institution Evaluation'!$A$55:$F$346,2,0),IFERROR(VLOOKUP($I90,'Privacy Analyst Evaluation'!$A$46:$F$120,2,0),""))</f>
        <v/>
      </c>
      <c r="K90" s="216" t="str">
        <f ca="1">IFERROR(VLOOKUP($I90,'Institution Evaluation'!$A$55:$F$346,3,0),IFERROR(VLOOKUP($I90,'Privacy Analyst Evaluation'!$A$46:$F$120,3,0),""))&amp;""</f>
        <v/>
      </c>
      <c r="L90" s="216" t="str">
        <f ca="1">IFERROR(VLOOKUP($I90,'Institution Evaluation'!$A$55:$F$346,4,0),IFERROR(VLOOKUP($I90,'Privacy Analyst Evaluation'!$A$46:$F$120,4,0),""))&amp;""</f>
        <v/>
      </c>
      <c r="M90" s="216" t="str">
        <f ca="1">IFERROR(VLOOKUP($I90,'Institution Evaluation'!$A$55:$F$346,6,0),IFERROR(VLOOKUP($I90,'Privacy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17">
      <c r="A91" s="216">
        <f>IFERROR(IF($A90+1&gt;'(backend scoring)'!$T$335,"",$A90+1),"")</f>
        <v>67</v>
      </c>
      <c r="B91" s="216" t="e">
        <f ca="1">_xlfn.XLOOKUP($A91,'(backend scoring)'!$V$2:$V$333,'(backend scoring)'!$A$2:$A$333,"")</f>
        <v>#NAME?</v>
      </c>
      <c r="C91" s="216" t="str">
        <f ca="1">IFERROR(VLOOKUP($B91,'Institution Evaluation'!$A$55:$F$346,2,0),IFERROR(VLOOKUP($B91,'Privacy Analyst Evaluation'!$A$46:$F$120,2,0),""))&amp;""</f>
        <v/>
      </c>
      <c r="D91" s="216" t="str">
        <f ca="1">IFERROR(VLOOKUP($B91,'Institution Evaluation'!$A$55:$F$346,3,0),IFERROR(VLOOKUP($B91,'Privacy Analyst Evaluation'!$A$46:$F$120,3,0),""))&amp;""</f>
        <v/>
      </c>
      <c r="E91" s="216" t="str">
        <f ca="1">IFERROR(VLOOKUP($B91,'Institution Evaluation'!$A$55:$F$346,4,0),IFERROR(VLOOKUP($B91,'Privacy Analyst Evaluation'!$A$46:$F$120,4,0),""))&amp;""</f>
        <v/>
      </c>
      <c r="F91" s="216" t="str">
        <f ca="1">IFERROR(VLOOKUP($B91,'Institution Evaluation'!$A$55:$F$346,6,0),IFERROR(VLOOKUP($B91,'Privacy Analyst Evaluation'!$A$46:$F$120,6,0),""))&amp;""</f>
        <v/>
      </c>
      <c r="G91" s="217"/>
      <c r="H91" s="216" t="str">
        <f>IFERROR(IF($H90+1&gt;'(backend scoring)'!$Q$335,"",$H90+1),"")</f>
        <v/>
      </c>
      <c r="I91" s="216" t="e">
        <f ca="1">_xlfn.XLOOKUP($H91,'(backend scoring)'!$S$2:$S$333,'(backend scoring)'!$A$2:$A$333,"")</f>
        <v>#NAME?</v>
      </c>
      <c r="J91" s="216" t="str">
        <f ca="1">IFERROR(VLOOKUP($I91,'Institution Evaluation'!$A$55:$F$346,2,0),IFERROR(VLOOKUP($I91,'Privacy Analyst Evaluation'!$A$46:$F$120,2,0),""))</f>
        <v/>
      </c>
      <c r="K91" s="216" t="str">
        <f ca="1">IFERROR(VLOOKUP($I91,'Institution Evaluation'!$A$55:$F$346,3,0),IFERROR(VLOOKUP($I91,'Privacy Analyst Evaluation'!$A$46:$F$120,3,0),""))&amp;""</f>
        <v/>
      </c>
      <c r="L91" s="216" t="str">
        <f ca="1">IFERROR(VLOOKUP($I91,'Institution Evaluation'!$A$55:$F$346,4,0),IFERROR(VLOOKUP($I91,'Privacy Analyst Evaluation'!$A$46:$F$120,4,0),""))&amp;""</f>
        <v/>
      </c>
      <c r="M91" s="216" t="str">
        <f ca="1">IFERROR(VLOOKUP($I91,'Institution Evaluation'!$A$55:$F$346,6,0),IFERROR(VLOOKUP($I91,'Privacy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17">
      <c r="A92" s="216">
        <f>IFERROR(IF($A91+1&gt;'(backend scoring)'!$T$335,"",$A91+1),"")</f>
        <v>68</v>
      </c>
      <c r="B92" s="216" t="e">
        <f ca="1">_xlfn.XLOOKUP($A92,'(backend scoring)'!$V$2:$V$333,'(backend scoring)'!$A$2:$A$333,"")</f>
        <v>#NAME?</v>
      </c>
      <c r="C92" s="216" t="str">
        <f ca="1">IFERROR(VLOOKUP($B92,'Institution Evaluation'!$A$55:$F$346,2,0),IFERROR(VLOOKUP($B92,'Privacy Analyst Evaluation'!$A$46:$F$120,2,0),""))&amp;""</f>
        <v/>
      </c>
      <c r="D92" s="216" t="str">
        <f ca="1">IFERROR(VLOOKUP($B92,'Institution Evaluation'!$A$55:$F$346,3,0),IFERROR(VLOOKUP($B92,'Privacy Analyst Evaluation'!$A$46:$F$120,3,0),""))&amp;""</f>
        <v/>
      </c>
      <c r="E92" s="216" t="str">
        <f ca="1">IFERROR(VLOOKUP($B92,'Institution Evaluation'!$A$55:$F$346,4,0),IFERROR(VLOOKUP($B92,'Privacy Analyst Evaluation'!$A$46:$F$120,4,0),""))&amp;""</f>
        <v/>
      </c>
      <c r="F92" s="216" t="str">
        <f ca="1">IFERROR(VLOOKUP($B92,'Institution Evaluation'!$A$55:$F$346,6,0),IFERROR(VLOOKUP($B92,'Privacy Analyst Evaluation'!$A$46:$F$120,6,0),""))&amp;""</f>
        <v/>
      </c>
      <c r="G92" s="217"/>
      <c r="H92" s="216" t="str">
        <f>IFERROR(IF($H91+1&gt;'(backend scoring)'!$Q$335,"",$H91+1),"")</f>
        <v/>
      </c>
      <c r="I92" s="216" t="e">
        <f ca="1">_xlfn.XLOOKUP($H92,'(backend scoring)'!$S$2:$S$333,'(backend scoring)'!$A$2:$A$333,"")</f>
        <v>#NAME?</v>
      </c>
      <c r="J92" s="216" t="str">
        <f ca="1">IFERROR(VLOOKUP($I92,'Institution Evaluation'!$A$55:$F$346,2,0),IFERROR(VLOOKUP($I92,'Privacy Analyst Evaluation'!$A$46:$F$120,2,0),""))</f>
        <v/>
      </c>
      <c r="K92" s="216" t="str">
        <f ca="1">IFERROR(VLOOKUP($I92,'Institution Evaluation'!$A$55:$F$346,3,0),IFERROR(VLOOKUP($I92,'Privacy Analyst Evaluation'!$A$46:$F$120,3,0),""))&amp;""</f>
        <v/>
      </c>
      <c r="L92" s="216" t="str">
        <f ca="1">IFERROR(VLOOKUP($I92,'Institution Evaluation'!$A$55:$F$346,4,0),IFERROR(VLOOKUP($I92,'Privacy Analyst Evaluation'!$A$46:$F$120,4,0),""))&amp;""</f>
        <v/>
      </c>
      <c r="M92" s="216" t="str">
        <f ca="1">IFERROR(VLOOKUP($I92,'Institution Evaluation'!$A$55:$F$346,6,0),IFERROR(VLOOKUP($I92,'Privacy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17">
      <c r="A93" s="216">
        <f>IFERROR(IF($A92+1&gt;'(backend scoring)'!$T$335,"",$A92+1),"")</f>
        <v>69</v>
      </c>
      <c r="B93" s="216" t="e">
        <f ca="1">_xlfn.XLOOKUP($A93,'(backend scoring)'!$V$2:$V$333,'(backend scoring)'!$A$2:$A$333,"")</f>
        <v>#NAME?</v>
      </c>
      <c r="C93" s="216" t="str">
        <f ca="1">IFERROR(VLOOKUP($B93,'Institution Evaluation'!$A$55:$F$346,2,0),IFERROR(VLOOKUP($B93,'Privacy Analyst Evaluation'!$A$46:$F$120,2,0),""))&amp;""</f>
        <v/>
      </c>
      <c r="D93" s="216" t="str">
        <f ca="1">IFERROR(VLOOKUP($B93,'Institution Evaluation'!$A$55:$F$346,3,0),IFERROR(VLOOKUP($B93,'Privacy Analyst Evaluation'!$A$46:$F$120,3,0),""))&amp;""</f>
        <v/>
      </c>
      <c r="E93" s="216" t="str">
        <f ca="1">IFERROR(VLOOKUP($B93,'Institution Evaluation'!$A$55:$F$346,4,0),IFERROR(VLOOKUP($B93,'Privacy Analyst Evaluation'!$A$46:$F$120,4,0),""))&amp;""</f>
        <v/>
      </c>
      <c r="F93" s="216" t="str">
        <f ca="1">IFERROR(VLOOKUP($B93,'Institution Evaluation'!$A$55:$F$346,6,0),IFERROR(VLOOKUP($B93,'Privacy Analyst Evaluation'!$A$46:$F$120,6,0),""))&amp;""</f>
        <v/>
      </c>
      <c r="G93" s="217"/>
      <c r="H93" s="216" t="str">
        <f>IFERROR(IF($H92+1&gt;'(backend scoring)'!$Q$335,"",$H92+1),"")</f>
        <v/>
      </c>
      <c r="I93" s="216" t="e">
        <f ca="1">_xlfn.XLOOKUP($H93,'(backend scoring)'!$S$2:$S$333,'(backend scoring)'!$A$2:$A$333,"")</f>
        <v>#NAME?</v>
      </c>
      <c r="J93" s="216" t="str">
        <f ca="1">IFERROR(VLOOKUP($I93,'Institution Evaluation'!$A$55:$F$346,2,0),IFERROR(VLOOKUP($I93,'Privacy Analyst Evaluation'!$A$46:$F$120,2,0),""))</f>
        <v/>
      </c>
      <c r="K93" s="216" t="str">
        <f ca="1">IFERROR(VLOOKUP($I93,'Institution Evaluation'!$A$55:$F$346,3,0),IFERROR(VLOOKUP($I93,'Privacy Analyst Evaluation'!$A$46:$F$120,3,0),""))&amp;""</f>
        <v/>
      </c>
      <c r="L93" s="216" t="str">
        <f ca="1">IFERROR(VLOOKUP($I93,'Institution Evaluation'!$A$55:$F$346,4,0),IFERROR(VLOOKUP($I93,'Privacy Analyst Evaluation'!$A$46:$F$120,4,0),""))&amp;""</f>
        <v/>
      </c>
      <c r="M93" s="216" t="str">
        <f ca="1">IFERROR(VLOOKUP($I93,'Institution Evaluation'!$A$55:$F$346,6,0),IFERROR(VLOOKUP($I93,'Privacy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17">
      <c r="A94" s="216">
        <f>IFERROR(IF($A93+1&gt;'(backend scoring)'!$T$335,"",$A93+1),"")</f>
        <v>70</v>
      </c>
      <c r="B94" s="216" t="e">
        <f ca="1">_xlfn.XLOOKUP($A94,'(backend scoring)'!$V$2:$V$333,'(backend scoring)'!$A$2:$A$333,"")</f>
        <v>#NAME?</v>
      </c>
      <c r="C94" s="216" t="str">
        <f ca="1">IFERROR(VLOOKUP($B94,'Institution Evaluation'!$A$55:$F$346,2,0),IFERROR(VLOOKUP($B94,'Privacy Analyst Evaluation'!$A$46:$F$120,2,0),""))&amp;""</f>
        <v/>
      </c>
      <c r="D94" s="216" t="str">
        <f ca="1">IFERROR(VLOOKUP($B94,'Institution Evaluation'!$A$55:$F$346,3,0),IFERROR(VLOOKUP($B94,'Privacy Analyst Evaluation'!$A$46:$F$120,3,0),""))&amp;""</f>
        <v/>
      </c>
      <c r="E94" s="216" t="str">
        <f ca="1">IFERROR(VLOOKUP($B94,'Institution Evaluation'!$A$55:$F$346,4,0),IFERROR(VLOOKUP($B94,'Privacy Analyst Evaluation'!$A$46:$F$120,4,0),""))&amp;""</f>
        <v/>
      </c>
      <c r="F94" s="216" t="str">
        <f ca="1">IFERROR(VLOOKUP($B94,'Institution Evaluation'!$A$55:$F$346,6,0),IFERROR(VLOOKUP($B94,'Privacy Analyst Evaluation'!$A$46:$F$120,6,0),""))&amp;""</f>
        <v/>
      </c>
      <c r="G94" s="217"/>
      <c r="H94" s="216" t="str">
        <f>IFERROR(IF($H93+1&gt;'(backend scoring)'!$Q$335,"",$H93+1),"")</f>
        <v/>
      </c>
      <c r="I94" s="216" t="e">
        <f ca="1">_xlfn.XLOOKUP($H94,'(backend scoring)'!$S$2:$S$333,'(backend scoring)'!$A$2:$A$333,"")</f>
        <v>#NAME?</v>
      </c>
      <c r="J94" s="216" t="str">
        <f ca="1">IFERROR(VLOOKUP($I94,'Institution Evaluation'!$A$55:$F$346,2,0),IFERROR(VLOOKUP($I94,'Privacy Analyst Evaluation'!$A$46:$F$120,2,0),""))</f>
        <v/>
      </c>
      <c r="K94" s="216" t="str">
        <f ca="1">IFERROR(VLOOKUP($I94,'Institution Evaluation'!$A$55:$F$346,3,0),IFERROR(VLOOKUP($I94,'Privacy Analyst Evaluation'!$A$46:$F$120,3,0),""))&amp;""</f>
        <v/>
      </c>
      <c r="L94" s="216" t="str">
        <f ca="1">IFERROR(VLOOKUP($I94,'Institution Evaluation'!$A$55:$F$346,4,0),IFERROR(VLOOKUP($I94,'Privacy Analyst Evaluation'!$A$46:$F$120,4,0),""))&amp;""</f>
        <v/>
      </c>
      <c r="M94" s="216" t="str">
        <f ca="1">IFERROR(VLOOKUP($I94,'Institution Evaluation'!$A$55:$F$346,6,0),IFERROR(VLOOKUP($I94,'Privacy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17">
      <c r="A95" s="216">
        <f>IFERROR(IF($A94+1&gt;'(backend scoring)'!$T$335,"",$A94+1),"")</f>
        <v>71</v>
      </c>
      <c r="B95" s="216" t="e">
        <f ca="1">_xlfn.XLOOKUP($A95,'(backend scoring)'!$V$2:$V$333,'(backend scoring)'!$A$2:$A$333,"")</f>
        <v>#NAME?</v>
      </c>
      <c r="C95" s="216" t="str">
        <f ca="1">IFERROR(VLOOKUP($B95,'Institution Evaluation'!$A$55:$F$346,2,0),IFERROR(VLOOKUP($B95,'Privacy Analyst Evaluation'!$A$46:$F$120,2,0),""))&amp;""</f>
        <v/>
      </c>
      <c r="D95" s="216" t="str">
        <f ca="1">IFERROR(VLOOKUP($B95,'Institution Evaluation'!$A$55:$F$346,3,0),IFERROR(VLOOKUP($B95,'Privacy Analyst Evaluation'!$A$46:$F$120,3,0),""))&amp;""</f>
        <v/>
      </c>
      <c r="E95" s="216" t="str">
        <f ca="1">IFERROR(VLOOKUP($B95,'Institution Evaluation'!$A$55:$F$346,4,0),IFERROR(VLOOKUP($B95,'Privacy Analyst Evaluation'!$A$46:$F$120,4,0),""))&amp;""</f>
        <v/>
      </c>
      <c r="F95" s="216" t="str">
        <f ca="1">IFERROR(VLOOKUP($B95,'Institution Evaluation'!$A$55:$F$346,6,0),IFERROR(VLOOKUP($B95,'Privacy Analyst Evaluation'!$A$46:$F$120,6,0),""))&amp;""</f>
        <v/>
      </c>
      <c r="G95" s="217"/>
      <c r="H95" s="216" t="str">
        <f>IFERROR(IF($H94+1&gt;'(backend scoring)'!$Q$335,"",$H94+1),"")</f>
        <v/>
      </c>
      <c r="I95" s="216" t="e">
        <f ca="1">_xlfn.XLOOKUP($H95,'(backend scoring)'!$S$2:$S$333,'(backend scoring)'!$A$2:$A$333,"")</f>
        <v>#NAME?</v>
      </c>
      <c r="J95" s="216" t="str">
        <f ca="1">IFERROR(VLOOKUP($I95,'Institution Evaluation'!$A$55:$F$346,2,0),IFERROR(VLOOKUP($I95,'Privacy Analyst Evaluation'!$A$46:$F$120,2,0),""))</f>
        <v/>
      </c>
      <c r="K95" s="216" t="str">
        <f ca="1">IFERROR(VLOOKUP($I95,'Institution Evaluation'!$A$55:$F$346,3,0),IFERROR(VLOOKUP($I95,'Privacy Analyst Evaluation'!$A$46:$F$120,3,0),""))&amp;""</f>
        <v/>
      </c>
      <c r="L95" s="216" t="str">
        <f ca="1">IFERROR(VLOOKUP($I95,'Institution Evaluation'!$A$55:$F$346,4,0),IFERROR(VLOOKUP($I95,'Privacy Analyst Evaluation'!$A$46:$F$120,4,0),""))&amp;""</f>
        <v/>
      </c>
      <c r="M95" s="216" t="str">
        <f ca="1">IFERROR(VLOOKUP($I95,'Institution Evaluation'!$A$55:$F$346,6,0),IFERROR(VLOOKUP($I95,'Privacy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17">
      <c r="A96" s="216">
        <f>IFERROR(IF($A95+1&gt;'(backend scoring)'!$T$335,"",$A95+1),"")</f>
        <v>72</v>
      </c>
      <c r="B96" s="216" t="e">
        <f ca="1">_xlfn.XLOOKUP($A96,'(backend scoring)'!$V$2:$V$333,'(backend scoring)'!$A$2:$A$333,"")</f>
        <v>#NAME?</v>
      </c>
      <c r="C96" s="216" t="str">
        <f ca="1">IFERROR(VLOOKUP($B96,'Institution Evaluation'!$A$55:$F$346,2,0),IFERROR(VLOOKUP($B96,'Privacy Analyst Evaluation'!$A$46:$F$120,2,0),""))&amp;""</f>
        <v/>
      </c>
      <c r="D96" s="216" t="str">
        <f ca="1">IFERROR(VLOOKUP($B96,'Institution Evaluation'!$A$55:$F$346,3,0),IFERROR(VLOOKUP($B96,'Privacy Analyst Evaluation'!$A$46:$F$120,3,0),""))&amp;""</f>
        <v/>
      </c>
      <c r="E96" s="216" t="str">
        <f ca="1">IFERROR(VLOOKUP($B96,'Institution Evaluation'!$A$55:$F$346,4,0),IFERROR(VLOOKUP($B96,'Privacy Analyst Evaluation'!$A$46:$F$120,4,0),""))&amp;""</f>
        <v/>
      </c>
      <c r="F96" s="216" t="str">
        <f ca="1">IFERROR(VLOOKUP($B96,'Institution Evaluation'!$A$55:$F$346,6,0),IFERROR(VLOOKUP($B96,'Privacy Analyst Evaluation'!$A$46:$F$120,6,0),""))&amp;""</f>
        <v/>
      </c>
      <c r="G96" s="217"/>
      <c r="H96" s="216" t="str">
        <f>IFERROR(IF($H95+1&gt;'(backend scoring)'!$Q$335,"",$H95+1),"")</f>
        <v/>
      </c>
      <c r="I96" s="216" t="e">
        <f ca="1">_xlfn.XLOOKUP($H96,'(backend scoring)'!$S$2:$S$333,'(backend scoring)'!$A$2:$A$333,"")</f>
        <v>#NAME?</v>
      </c>
      <c r="J96" s="216" t="str">
        <f ca="1">IFERROR(VLOOKUP($I96,'Institution Evaluation'!$A$55:$F$346,2,0),IFERROR(VLOOKUP($I96,'Privacy Analyst Evaluation'!$A$46:$F$120,2,0),""))</f>
        <v/>
      </c>
      <c r="K96" s="216" t="str">
        <f ca="1">IFERROR(VLOOKUP($I96,'Institution Evaluation'!$A$55:$F$346,3,0),IFERROR(VLOOKUP($I96,'Privacy Analyst Evaluation'!$A$46:$F$120,3,0),""))&amp;""</f>
        <v/>
      </c>
      <c r="L96" s="216" t="str">
        <f ca="1">IFERROR(VLOOKUP($I96,'Institution Evaluation'!$A$55:$F$346,4,0),IFERROR(VLOOKUP($I96,'Privacy Analyst Evaluation'!$A$46:$F$120,4,0),""))&amp;""</f>
        <v/>
      </c>
      <c r="M96" s="216" t="str">
        <f ca="1">IFERROR(VLOOKUP($I96,'Institution Evaluation'!$A$55:$F$346,6,0),IFERROR(VLOOKUP($I96,'Privacy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17">
      <c r="A97" s="216">
        <f>IFERROR(IF($A96+1&gt;'(backend scoring)'!$T$335,"",$A96+1),"")</f>
        <v>73</v>
      </c>
      <c r="B97" s="216" t="e">
        <f ca="1">_xlfn.XLOOKUP($A97,'(backend scoring)'!$V$2:$V$333,'(backend scoring)'!$A$2:$A$333,"")</f>
        <v>#NAME?</v>
      </c>
      <c r="C97" s="216" t="str">
        <f ca="1">IFERROR(VLOOKUP($B97,'Institution Evaluation'!$A$55:$F$346,2,0),IFERROR(VLOOKUP($B97,'Privacy Analyst Evaluation'!$A$46:$F$120,2,0),""))&amp;""</f>
        <v/>
      </c>
      <c r="D97" s="216" t="str">
        <f ca="1">IFERROR(VLOOKUP($B97,'Institution Evaluation'!$A$55:$F$346,3,0),IFERROR(VLOOKUP($B97,'Privacy Analyst Evaluation'!$A$46:$F$120,3,0),""))&amp;""</f>
        <v/>
      </c>
      <c r="E97" s="216" t="str">
        <f ca="1">IFERROR(VLOOKUP($B97,'Institution Evaluation'!$A$55:$F$346,4,0),IFERROR(VLOOKUP($B97,'Privacy Analyst Evaluation'!$A$46:$F$120,4,0),""))&amp;""</f>
        <v/>
      </c>
      <c r="F97" s="216" t="str">
        <f ca="1">IFERROR(VLOOKUP($B97,'Institution Evaluation'!$A$55:$F$346,6,0),IFERROR(VLOOKUP($B97,'Privacy Analyst Evaluation'!$A$46:$F$120,6,0),""))&amp;""</f>
        <v/>
      </c>
      <c r="G97" s="217"/>
      <c r="H97" s="216" t="str">
        <f>IFERROR(IF($H96+1&gt;'(backend scoring)'!$Q$335,"",$H96+1),"")</f>
        <v/>
      </c>
      <c r="I97" s="216" t="e">
        <f ca="1">_xlfn.XLOOKUP($H97,'(backend scoring)'!$S$2:$S$333,'(backend scoring)'!$A$2:$A$333,"")</f>
        <v>#NAME?</v>
      </c>
      <c r="J97" s="216" t="str">
        <f ca="1">IFERROR(VLOOKUP($I97,'Institution Evaluation'!$A$55:$F$346,2,0),IFERROR(VLOOKUP($I97,'Privacy Analyst Evaluation'!$A$46:$F$120,2,0),""))</f>
        <v/>
      </c>
      <c r="K97" s="216" t="str">
        <f ca="1">IFERROR(VLOOKUP($I97,'Institution Evaluation'!$A$55:$F$346,3,0),IFERROR(VLOOKUP($I97,'Privacy Analyst Evaluation'!$A$46:$F$120,3,0),""))&amp;""</f>
        <v/>
      </c>
      <c r="L97" s="216" t="str">
        <f ca="1">IFERROR(VLOOKUP($I97,'Institution Evaluation'!$A$55:$F$346,4,0),IFERROR(VLOOKUP($I97,'Privacy Analyst Evaluation'!$A$46:$F$120,4,0),""))&amp;""</f>
        <v/>
      </c>
      <c r="M97" s="216" t="str">
        <f ca="1">IFERROR(VLOOKUP($I97,'Institution Evaluation'!$A$55:$F$346,6,0),IFERROR(VLOOKUP($I97,'Privacy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17">
      <c r="A98" s="216">
        <f>IFERROR(IF($A97+1&gt;'(backend scoring)'!$T$335,"",$A97+1),"")</f>
        <v>74</v>
      </c>
      <c r="B98" s="216" t="e">
        <f ca="1">_xlfn.XLOOKUP($A98,'(backend scoring)'!$V$2:$V$333,'(backend scoring)'!$A$2:$A$333,"")</f>
        <v>#NAME?</v>
      </c>
      <c r="C98" s="216" t="str">
        <f ca="1">IFERROR(VLOOKUP($B98,'Institution Evaluation'!$A$55:$F$346,2,0),IFERROR(VLOOKUP($B98,'Privacy Analyst Evaluation'!$A$46:$F$120,2,0),""))&amp;""</f>
        <v/>
      </c>
      <c r="D98" s="216" t="str">
        <f ca="1">IFERROR(VLOOKUP($B98,'Institution Evaluation'!$A$55:$F$346,3,0),IFERROR(VLOOKUP($B98,'Privacy Analyst Evaluation'!$A$46:$F$120,3,0),""))&amp;""</f>
        <v/>
      </c>
      <c r="E98" s="216" t="str">
        <f ca="1">IFERROR(VLOOKUP($B98,'Institution Evaluation'!$A$55:$F$346,4,0),IFERROR(VLOOKUP($B98,'Privacy Analyst Evaluation'!$A$46:$F$120,4,0),""))&amp;""</f>
        <v/>
      </c>
      <c r="F98" s="216" t="str">
        <f ca="1">IFERROR(VLOOKUP($B98,'Institution Evaluation'!$A$55:$F$346,6,0),IFERROR(VLOOKUP($B98,'Privacy Analyst Evaluation'!$A$46:$F$120,6,0),""))&amp;""</f>
        <v/>
      </c>
      <c r="G98" s="217"/>
      <c r="H98" s="216" t="str">
        <f>IFERROR(IF($H97+1&gt;'(backend scoring)'!$Q$335,"",$H97+1),"")</f>
        <v/>
      </c>
      <c r="I98" s="216" t="e">
        <f ca="1">_xlfn.XLOOKUP($H98,'(backend scoring)'!$S$2:$S$333,'(backend scoring)'!$A$2:$A$333,"")</f>
        <v>#NAME?</v>
      </c>
      <c r="J98" s="216" t="str">
        <f ca="1">IFERROR(VLOOKUP($I98,'Institution Evaluation'!$A$55:$F$346,2,0),IFERROR(VLOOKUP($I98,'Privacy Analyst Evaluation'!$A$46:$F$120,2,0),""))</f>
        <v/>
      </c>
      <c r="K98" s="216" t="str">
        <f ca="1">IFERROR(VLOOKUP($I98,'Institution Evaluation'!$A$55:$F$346,3,0),IFERROR(VLOOKUP($I98,'Privacy Analyst Evaluation'!$A$46:$F$120,3,0),""))&amp;""</f>
        <v/>
      </c>
      <c r="L98" s="216" t="str">
        <f ca="1">IFERROR(VLOOKUP($I98,'Institution Evaluation'!$A$55:$F$346,4,0),IFERROR(VLOOKUP($I98,'Privacy Analyst Evaluation'!$A$46:$F$120,4,0),""))&amp;""</f>
        <v/>
      </c>
      <c r="M98" s="216" t="str">
        <f ca="1">IFERROR(VLOOKUP($I98,'Institution Evaluation'!$A$55:$F$346,6,0),IFERROR(VLOOKUP($I98,'Privacy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17">
      <c r="A99" s="216">
        <f>IFERROR(IF($A98+1&gt;'(backend scoring)'!$T$335,"",$A98+1),"")</f>
        <v>75</v>
      </c>
      <c r="B99" s="216" t="e">
        <f ca="1">_xlfn.XLOOKUP($A99,'(backend scoring)'!$V$2:$V$333,'(backend scoring)'!$A$2:$A$333,"")</f>
        <v>#NAME?</v>
      </c>
      <c r="C99" s="216" t="str">
        <f ca="1">IFERROR(VLOOKUP($B99,'Institution Evaluation'!$A$55:$F$346,2,0),IFERROR(VLOOKUP($B99,'Privacy Analyst Evaluation'!$A$46:$F$120,2,0),""))&amp;""</f>
        <v/>
      </c>
      <c r="D99" s="216" t="str">
        <f ca="1">IFERROR(VLOOKUP($B99,'Institution Evaluation'!$A$55:$F$346,3,0),IFERROR(VLOOKUP($B99,'Privacy Analyst Evaluation'!$A$46:$F$120,3,0),""))&amp;""</f>
        <v/>
      </c>
      <c r="E99" s="216" t="str">
        <f ca="1">IFERROR(VLOOKUP($B99,'Institution Evaluation'!$A$55:$F$346,4,0),IFERROR(VLOOKUP($B99,'Privacy Analyst Evaluation'!$A$46:$F$120,4,0),""))&amp;""</f>
        <v/>
      </c>
      <c r="F99" s="216" t="str">
        <f ca="1">IFERROR(VLOOKUP($B99,'Institution Evaluation'!$A$55:$F$346,6,0),IFERROR(VLOOKUP($B99,'Privacy Analyst Evaluation'!$A$46:$F$120,6,0),""))&amp;""</f>
        <v/>
      </c>
      <c r="G99" s="217"/>
      <c r="H99" s="216" t="str">
        <f>IFERROR(IF($H98+1&gt;'(backend scoring)'!$Q$335,"",$H98+1),"")</f>
        <v/>
      </c>
      <c r="I99" s="216" t="e">
        <f ca="1">_xlfn.XLOOKUP($H99,'(backend scoring)'!$S$2:$S$333,'(backend scoring)'!$A$2:$A$333,"")</f>
        <v>#NAME?</v>
      </c>
      <c r="J99" s="216" t="str">
        <f ca="1">IFERROR(VLOOKUP($I99,'Institution Evaluation'!$A$55:$F$346,2,0),IFERROR(VLOOKUP($I99,'Privacy Analyst Evaluation'!$A$46:$F$120,2,0),""))</f>
        <v/>
      </c>
      <c r="K99" s="216" t="str">
        <f ca="1">IFERROR(VLOOKUP($I99,'Institution Evaluation'!$A$55:$F$346,3,0),IFERROR(VLOOKUP($I99,'Privacy Analyst Evaluation'!$A$46:$F$120,3,0),""))&amp;""</f>
        <v/>
      </c>
      <c r="L99" s="216" t="str">
        <f ca="1">IFERROR(VLOOKUP($I99,'Institution Evaluation'!$A$55:$F$346,4,0),IFERROR(VLOOKUP($I99,'Privacy Analyst Evaluation'!$A$46:$F$120,4,0),""))&amp;""</f>
        <v/>
      </c>
      <c r="M99" s="216" t="str">
        <f ca="1">IFERROR(VLOOKUP($I99,'Institution Evaluation'!$A$55:$F$346,6,0),IFERROR(VLOOKUP($I99,'Privacy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17">
      <c r="A100" s="216">
        <f>IFERROR(IF($A99+1&gt;'(backend scoring)'!$T$335,"",$A99+1),"")</f>
        <v>76</v>
      </c>
      <c r="B100" s="216" t="e">
        <f ca="1">_xlfn.XLOOKUP($A100,'(backend scoring)'!$V$2:$V$333,'(backend scoring)'!$A$2:$A$333,"")</f>
        <v>#NAME?</v>
      </c>
      <c r="C100" s="216" t="str">
        <f ca="1">IFERROR(VLOOKUP($B100,'Institution Evaluation'!$A$55:$F$346,2,0),IFERROR(VLOOKUP($B100,'Privacy Analyst Evaluation'!$A$46:$F$120,2,0),""))&amp;""</f>
        <v/>
      </c>
      <c r="D100" s="216" t="str">
        <f ca="1">IFERROR(VLOOKUP($B100,'Institution Evaluation'!$A$55:$F$346,3,0),IFERROR(VLOOKUP($B100,'Privacy Analyst Evaluation'!$A$46:$F$120,3,0),""))&amp;""</f>
        <v/>
      </c>
      <c r="E100" s="216" t="str">
        <f ca="1">IFERROR(VLOOKUP($B100,'Institution Evaluation'!$A$55:$F$346,4,0),IFERROR(VLOOKUP($B100,'Privacy Analyst Evaluation'!$A$46:$F$120,4,0),""))&amp;""</f>
        <v/>
      </c>
      <c r="F100" s="216" t="str">
        <f ca="1">IFERROR(VLOOKUP($B100,'Institution Evaluation'!$A$55:$F$346,6,0),IFERROR(VLOOKUP($B100,'Privacy Analyst Evaluation'!$A$46:$F$120,6,0),""))&amp;""</f>
        <v/>
      </c>
      <c r="G100" s="217"/>
      <c r="H100" s="216" t="str">
        <f>IFERROR(IF($H99+1&gt;'(backend scoring)'!$Q$335,"",$H99+1),"")</f>
        <v/>
      </c>
      <c r="I100" s="216" t="e">
        <f ca="1">_xlfn.XLOOKUP($H100,'(backend scoring)'!$S$2:$S$333,'(backend scoring)'!$A$2:$A$333,"")</f>
        <v>#NAME?</v>
      </c>
      <c r="J100" s="216" t="str">
        <f ca="1">IFERROR(VLOOKUP($I100,'Institution Evaluation'!$A$55:$F$346,2,0),IFERROR(VLOOKUP($I100,'Privacy Analyst Evaluation'!$A$46:$F$120,2,0),""))</f>
        <v/>
      </c>
      <c r="K100" s="216" t="str">
        <f ca="1">IFERROR(VLOOKUP($I100,'Institution Evaluation'!$A$55:$F$346,3,0),IFERROR(VLOOKUP($I100,'Privacy Analyst Evaluation'!$A$46:$F$120,3,0),""))&amp;""</f>
        <v/>
      </c>
      <c r="L100" s="216" t="str">
        <f ca="1">IFERROR(VLOOKUP($I100,'Institution Evaluation'!$A$55:$F$346,4,0),IFERROR(VLOOKUP($I100,'Privacy Analyst Evaluation'!$A$46:$F$120,4,0),""))&amp;""</f>
        <v/>
      </c>
      <c r="M100" s="216" t="str">
        <f ca="1">IFERROR(VLOOKUP($I100,'Institution Evaluation'!$A$55:$F$346,6,0),IFERROR(VLOOKUP($I100,'Privacy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17">
      <c r="A101" s="216">
        <f>IFERROR(IF($A100+1&gt;'(backend scoring)'!$T$335,"",$A100+1),"")</f>
        <v>77</v>
      </c>
      <c r="B101" s="216" t="e">
        <f ca="1">_xlfn.XLOOKUP($A101,'(backend scoring)'!$V$2:$V$333,'(backend scoring)'!$A$2:$A$333,"")</f>
        <v>#NAME?</v>
      </c>
      <c r="C101" s="216" t="str">
        <f ca="1">IFERROR(VLOOKUP($B101,'Institution Evaluation'!$A$55:$F$346,2,0),IFERROR(VLOOKUP($B101,'Privacy Analyst Evaluation'!$A$46:$F$120,2,0),""))&amp;""</f>
        <v/>
      </c>
      <c r="D101" s="216" t="str">
        <f ca="1">IFERROR(VLOOKUP($B101,'Institution Evaluation'!$A$55:$F$346,3,0),IFERROR(VLOOKUP($B101,'Privacy Analyst Evaluation'!$A$46:$F$120,3,0),""))&amp;""</f>
        <v/>
      </c>
      <c r="E101" s="216" t="str">
        <f ca="1">IFERROR(VLOOKUP($B101,'Institution Evaluation'!$A$55:$F$346,4,0),IFERROR(VLOOKUP($B101,'Privacy Analyst Evaluation'!$A$46:$F$120,4,0),""))&amp;""</f>
        <v/>
      </c>
      <c r="F101" s="216" t="str">
        <f ca="1">IFERROR(VLOOKUP($B101,'Institution Evaluation'!$A$55:$F$346,6,0),IFERROR(VLOOKUP($B101,'Privacy Analyst Evaluation'!$A$46:$F$120,6,0),""))&amp;""</f>
        <v/>
      </c>
      <c r="G101" s="217"/>
      <c r="H101" s="216" t="str">
        <f>IFERROR(IF($H100+1&gt;'(backend scoring)'!$Q$335,"",$H100+1),"")</f>
        <v/>
      </c>
      <c r="I101" s="216" t="e">
        <f ca="1">_xlfn.XLOOKUP($H101,'(backend scoring)'!$S$2:$S$333,'(backend scoring)'!$A$2:$A$333,"")</f>
        <v>#NAME?</v>
      </c>
      <c r="J101" s="216" t="str">
        <f ca="1">IFERROR(VLOOKUP($I101,'Institution Evaluation'!$A$55:$F$346,2,0),IFERROR(VLOOKUP($I101,'Privacy Analyst Evaluation'!$A$46:$F$120,2,0),""))</f>
        <v/>
      </c>
      <c r="K101" s="216" t="str">
        <f ca="1">IFERROR(VLOOKUP($I101,'Institution Evaluation'!$A$55:$F$346,3,0),IFERROR(VLOOKUP($I101,'Privacy Analyst Evaluation'!$A$46:$F$120,3,0),""))&amp;""</f>
        <v/>
      </c>
      <c r="L101" s="216" t="str">
        <f ca="1">IFERROR(VLOOKUP($I101,'Institution Evaluation'!$A$55:$F$346,4,0),IFERROR(VLOOKUP($I101,'Privacy Analyst Evaluation'!$A$46:$F$120,4,0),""))&amp;""</f>
        <v/>
      </c>
      <c r="M101" s="216" t="str">
        <f ca="1">IFERROR(VLOOKUP($I101,'Institution Evaluation'!$A$55:$F$346,6,0),IFERROR(VLOOKUP($I101,'Privacy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17">
      <c r="A102" s="216">
        <f>IFERROR(IF($A101+1&gt;'(backend scoring)'!$T$335,"",$A101+1),"")</f>
        <v>78</v>
      </c>
      <c r="B102" s="216" t="e">
        <f ca="1">_xlfn.XLOOKUP($A102,'(backend scoring)'!$V$2:$V$333,'(backend scoring)'!$A$2:$A$333,"")</f>
        <v>#NAME?</v>
      </c>
      <c r="C102" s="216" t="str">
        <f ca="1">IFERROR(VLOOKUP($B102,'Institution Evaluation'!$A$55:$F$346,2,0),IFERROR(VLOOKUP($B102,'Privacy Analyst Evaluation'!$A$46:$F$120,2,0),""))&amp;""</f>
        <v/>
      </c>
      <c r="D102" s="216" t="str">
        <f ca="1">IFERROR(VLOOKUP($B102,'Institution Evaluation'!$A$55:$F$346,3,0),IFERROR(VLOOKUP($B102,'Privacy Analyst Evaluation'!$A$46:$F$120,3,0),""))&amp;""</f>
        <v/>
      </c>
      <c r="E102" s="216" t="str">
        <f ca="1">IFERROR(VLOOKUP($B102,'Institution Evaluation'!$A$55:$F$346,4,0),IFERROR(VLOOKUP($B102,'Privacy Analyst Evaluation'!$A$46:$F$120,4,0),""))&amp;""</f>
        <v/>
      </c>
      <c r="F102" s="216" t="str">
        <f ca="1">IFERROR(VLOOKUP($B102,'Institution Evaluation'!$A$55:$F$346,6,0),IFERROR(VLOOKUP($B102,'Privacy Analyst Evaluation'!$A$46:$F$120,6,0),""))&amp;""</f>
        <v/>
      </c>
      <c r="G102" s="217"/>
      <c r="H102" s="216" t="str">
        <f>IFERROR(IF($H101+1&gt;'(backend scoring)'!$Q$335,"",$H101+1),"")</f>
        <v/>
      </c>
      <c r="I102" s="216" t="e">
        <f ca="1">_xlfn.XLOOKUP($H102,'(backend scoring)'!$S$2:$S$333,'(backend scoring)'!$A$2:$A$333,"")</f>
        <v>#NAME?</v>
      </c>
      <c r="J102" s="216" t="str">
        <f ca="1">IFERROR(VLOOKUP($I102,'Institution Evaluation'!$A$55:$F$346,2,0),IFERROR(VLOOKUP($I102,'Privacy Analyst Evaluation'!$A$46:$F$120,2,0),""))</f>
        <v/>
      </c>
      <c r="K102" s="216" t="str">
        <f ca="1">IFERROR(VLOOKUP($I102,'Institution Evaluation'!$A$55:$F$346,3,0),IFERROR(VLOOKUP($I102,'Privacy Analyst Evaluation'!$A$46:$F$120,3,0),""))&amp;""</f>
        <v/>
      </c>
      <c r="L102" s="216" t="str">
        <f ca="1">IFERROR(VLOOKUP($I102,'Institution Evaluation'!$A$55:$F$346,4,0),IFERROR(VLOOKUP($I102,'Privacy Analyst Evaluation'!$A$46:$F$120,4,0),""))&amp;""</f>
        <v/>
      </c>
      <c r="M102" s="216" t="str">
        <f ca="1">IFERROR(VLOOKUP($I102,'Institution Evaluation'!$A$55:$F$346,6,0),IFERROR(VLOOKUP($I102,'Privacy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17">
      <c r="A103" s="216">
        <f>IFERROR(IF($A102+1&gt;'(backend scoring)'!$T$335,"",$A102+1),"")</f>
        <v>79</v>
      </c>
      <c r="B103" s="216" t="e">
        <f ca="1">_xlfn.XLOOKUP($A103,'(backend scoring)'!$V$2:$V$333,'(backend scoring)'!$A$2:$A$333,"")</f>
        <v>#NAME?</v>
      </c>
      <c r="C103" s="216" t="str">
        <f ca="1">IFERROR(VLOOKUP($B103,'Institution Evaluation'!$A$55:$F$346,2,0),IFERROR(VLOOKUP($B103,'Privacy Analyst Evaluation'!$A$46:$F$120,2,0),""))&amp;""</f>
        <v/>
      </c>
      <c r="D103" s="216" t="str">
        <f ca="1">IFERROR(VLOOKUP($B103,'Institution Evaluation'!$A$55:$F$346,3,0),IFERROR(VLOOKUP($B103,'Privacy Analyst Evaluation'!$A$46:$F$120,3,0),""))&amp;""</f>
        <v/>
      </c>
      <c r="E103" s="216" t="str">
        <f ca="1">IFERROR(VLOOKUP($B103,'Institution Evaluation'!$A$55:$F$346,4,0),IFERROR(VLOOKUP($B103,'Privacy Analyst Evaluation'!$A$46:$F$120,4,0),""))&amp;""</f>
        <v/>
      </c>
      <c r="F103" s="216" t="str">
        <f ca="1">IFERROR(VLOOKUP($B103,'Institution Evaluation'!$A$55:$F$346,6,0),IFERROR(VLOOKUP($B103,'Privacy Analyst Evaluation'!$A$46:$F$120,6,0),""))&amp;""</f>
        <v/>
      </c>
      <c r="G103" s="217"/>
      <c r="H103" s="216" t="str">
        <f>IFERROR(IF($H102+1&gt;'(backend scoring)'!$Q$335,"",$H102+1),"")</f>
        <v/>
      </c>
      <c r="I103" s="216" t="e">
        <f ca="1">_xlfn.XLOOKUP($H103,'(backend scoring)'!$S$2:$S$333,'(backend scoring)'!$A$2:$A$333,"")</f>
        <v>#NAME?</v>
      </c>
      <c r="J103" s="216" t="str">
        <f ca="1">IFERROR(VLOOKUP($I103,'Institution Evaluation'!$A$55:$F$346,2,0),IFERROR(VLOOKUP($I103,'Privacy Analyst Evaluation'!$A$46:$F$120,2,0),""))</f>
        <v/>
      </c>
      <c r="K103" s="216" t="str">
        <f ca="1">IFERROR(VLOOKUP($I103,'Institution Evaluation'!$A$55:$F$346,3,0),IFERROR(VLOOKUP($I103,'Privacy Analyst Evaluation'!$A$46:$F$120,3,0),""))&amp;""</f>
        <v/>
      </c>
      <c r="L103" s="216" t="str">
        <f ca="1">IFERROR(VLOOKUP($I103,'Institution Evaluation'!$A$55:$F$346,4,0),IFERROR(VLOOKUP($I103,'Privacy Analyst Evaluation'!$A$46:$F$120,4,0),""))&amp;""</f>
        <v/>
      </c>
      <c r="M103" s="216" t="str">
        <f ca="1">IFERROR(VLOOKUP($I103,'Institution Evaluation'!$A$55:$F$346,6,0),IFERROR(VLOOKUP($I103,'Privacy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17">
      <c r="A104" s="216">
        <f>IFERROR(IF($A103+1&gt;'(backend scoring)'!$T$335,"",$A103+1),"")</f>
        <v>80</v>
      </c>
      <c r="B104" s="216" t="e">
        <f ca="1">_xlfn.XLOOKUP($A104,'(backend scoring)'!$V$2:$V$333,'(backend scoring)'!$A$2:$A$333,"")</f>
        <v>#NAME?</v>
      </c>
      <c r="C104" s="216" t="str">
        <f ca="1">IFERROR(VLOOKUP($B104,'Institution Evaluation'!$A$55:$F$346,2,0),IFERROR(VLOOKUP($B104,'Privacy Analyst Evaluation'!$A$46:$F$120,2,0),""))&amp;""</f>
        <v/>
      </c>
      <c r="D104" s="216" t="str">
        <f ca="1">IFERROR(VLOOKUP($B104,'Institution Evaluation'!$A$55:$F$346,3,0),IFERROR(VLOOKUP($B104,'Privacy Analyst Evaluation'!$A$46:$F$120,3,0),""))&amp;""</f>
        <v/>
      </c>
      <c r="E104" s="216" t="str">
        <f ca="1">IFERROR(VLOOKUP($B104,'Institution Evaluation'!$A$55:$F$346,4,0),IFERROR(VLOOKUP($B104,'Privacy Analyst Evaluation'!$A$46:$F$120,4,0),""))&amp;""</f>
        <v/>
      </c>
      <c r="F104" s="216" t="str">
        <f ca="1">IFERROR(VLOOKUP($B104,'Institution Evaluation'!$A$55:$F$346,6,0),IFERROR(VLOOKUP($B104,'Privacy Analyst Evaluation'!$A$46:$F$120,6,0),""))&amp;""</f>
        <v/>
      </c>
      <c r="G104" s="217"/>
      <c r="H104" s="216" t="str">
        <f>IFERROR(IF($H103+1&gt;'(backend scoring)'!$Q$335,"",$H103+1),"")</f>
        <v/>
      </c>
      <c r="I104" s="216" t="e">
        <f ca="1">_xlfn.XLOOKUP($H104,'(backend scoring)'!$S$2:$S$333,'(backend scoring)'!$A$2:$A$333,"")</f>
        <v>#NAME?</v>
      </c>
      <c r="J104" s="216" t="str">
        <f ca="1">IFERROR(VLOOKUP($I104,'Institution Evaluation'!$A$55:$F$346,2,0),IFERROR(VLOOKUP($I104,'Privacy Analyst Evaluation'!$A$46:$F$120,2,0),""))</f>
        <v/>
      </c>
      <c r="K104" s="216" t="str">
        <f ca="1">IFERROR(VLOOKUP($I104,'Institution Evaluation'!$A$55:$F$346,3,0),IFERROR(VLOOKUP($I104,'Privacy Analyst Evaluation'!$A$46:$F$120,3,0),""))&amp;""</f>
        <v/>
      </c>
      <c r="L104" s="216" t="str">
        <f ca="1">IFERROR(VLOOKUP($I104,'Institution Evaluation'!$A$55:$F$346,4,0),IFERROR(VLOOKUP($I104,'Privacy Analyst Evaluation'!$A$46:$F$120,4,0),""))&amp;""</f>
        <v/>
      </c>
      <c r="M104" s="216" t="str">
        <f ca="1">IFERROR(VLOOKUP($I104,'Institution Evaluation'!$A$55:$F$346,6,0),IFERROR(VLOOKUP($I104,'Privacy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17">
      <c r="A105" s="216">
        <f>IFERROR(IF($A104+1&gt;'(backend scoring)'!$T$335,"",$A104+1),"")</f>
        <v>81</v>
      </c>
      <c r="B105" s="216" t="e">
        <f ca="1">_xlfn.XLOOKUP($A105,'(backend scoring)'!$V$2:$V$333,'(backend scoring)'!$A$2:$A$333,"")</f>
        <v>#NAME?</v>
      </c>
      <c r="C105" s="216" t="str">
        <f ca="1">IFERROR(VLOOKUP($B105,'Institution Evaluation'!$A$55:$F$346,2,0),IFERROR(VLOOKUP($B105,'Privacy Analyst Evaluation'!$A$46:$F$120,2,0),""))&amp;""</f>
        <v/>
      </c>
      <c r="D105" s="216" t="str">
        <f ca="1">IFERROR(VLOOKUP($B105,'Institution Evaluation'!$A$55:$F$346,3,0),IFERROR(VLOOKUP($B105,'Privacy Analyst Evaluation'!$A$46:$F$120,3,0),""))&amp;""</f>
        <v/>
      </c>
      <c r="E105" s="216" t="str">
        <f ca="1">IFERROR(VLOOKUP($B105,'Institution Evaluation'!$A$55:$F$346,4,0),IFERROR(VLOOKUP($B105,'Privacy Analyst Evaluation'!$A$46:$F$120,4,0),""))&amp;""</f>
        <v/>
      </c>
      <c r="F105" s="216" t="str">
        <f ca="1">IFERROR(VLOOKUP($B105,'Institution Evaluation'!$A$55:$F$346,6,0),IFERROR(VLOOKUP($B105,'Privacy Analyst Evaluation'!$A$46:$F$120,6,0),""))&amp;""</f>
        <v/>
      </c>
      <c r="G105" s="217"/>
      <c r="H105" s="216" t="str">
        <f>IFERROR(IF($H104+1&gt;'(backend scoring)'!$Q$335,"",$H104+1),"")</f>
        <v/>
      </c>
      <c r="I105" s="216" t="e">
        <f ca="1">_xlfn.XLOOKUP($H105,'(backend scoring)'!$S$2:$S$333,'(backend scoring)'!$A$2:$A$333,"")</f>
        <v>#NAME?</v>
      </c>
      <c r="J105" s="216" t="str">
        <f ca="1">IFERROR(VLOOKUP($I105,'Institution Evaluation'!$A$55:$F$346,2,0),IFERROR(VLOOKUP($I105,'Privacy Analyst Evaluation'!$A$46:$F$120,2,0),""))</f>
        <v/>
      </c>
      <c r="K105" s="216" t="str">
        <f ca="1">IFERROR(VLOOKUP($I105,'Institution Evaluation'!$A$55:$F$346,3,0),IFERROR(VLOOKUP($I105,'Privacy Analyst Evaluation'!$A$46:$F$120,3,0),""))&amp;""</f>
        <v/>
      </c>
      <c r="L105" s="216" t="str">
        <f ca="1">IFERROR(VLOOKUP($I105,'Institution Evaluation'!$A$55:$F$346,4,0),IFERROR(VLOOKUP($I105,'Privacy Analyst Evaluation'!$A$46:$F$120,4,0),""))&amp;""</f>
        <v/>
      </c>
      <c r="M105" s="216" t="str">
        <f ca="1">IFERROR(VLOOKUP($I105,'Institution Evaluation'!$A$55:$F$346,6,0),IFERROR(VLOOKUP($I105,'Privacy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17">
      <c r="A106" s="216">
        <f>IFERROR(IF($A105+1&gt;'(backend scoring)'!$T$335,"",$A105+1),"")</f>
        <v>82</v>
      </c>
      <c r="B106" s="216" t="e">
        <f ca="1">_xlfn.XLOOKUP($A106,'(backend scoring)'!$V$2:$V$333,'(backend scoring)'!$A$2:$A$333,"")</f>
        <v>#NAME?</v>
      </c>
      <c r="C106" s="216" t="str">
        <f ca="1">IFERROR(VLOOKUP($B106,'Institution Evaluation'!$A$55:$F$346,2,0),IFERROR(VLOOKUP($B106,'Privacy Analyst Evaluation'!$A$46:$F$120,2,0),""))&amp;""</f>
        <v/>
      </c>
      <c r="D106" s="216" t="str">
        <f ca="1">IFERROR(VLOOKUP($B106,'Institution Evaluation'!$A$55:$F$346,3,0),IFERROR(VLOOKUP($B106,'Privacy Analyst Evaluation'!$A$46:$F$120,3,0),""))&amp;""</f>
        <v/>
      </c>
      <c r="E106" s="216" t="str">
        <f ca="1">IFERROR(VLOOKUP($B106,'Institution Evaluation'!$A$55:$F$346,4,0),IFERROR(VLOOKUP($B106,'Privacy Analyst Evaluation'!$A$46:$F$120,4,0),""))&amp;""</f>
        <v/>
      </c>
      <c r="F106" s="216" t="str">
        <f ca="1">IFERROR(VLOOKUP($B106,'Institution Evaluation'!$A$55:$F$346,6,0),IFERROR(VLOOKUP($B106,'Privacy Analyst Evaluation'!$A$46:$F$120,6,0),""))&amp;""</f>
        <v/>
      </c>
      <c r="G106" s="217"/>
      <c r="H106" s="216" t="str">
        <f>IFERROR(IF($H105+1&gt;'(backend scoring)'!$Q$335,"",$H105+1),"")</f>
        <v/>
      </c>
      <c r="I106" s="216" t="e">
        <f ca="1">_xlfn.XLOOKUP($H106,'(backend scoring)'!$S$2:$S$333,'(backend scoring)'!$A$2:$A$333,"")</f>
        <v>#NAME?</v>
      </c>
      <c r="J106" s="216" t="str">
        <f ca="1">IFERROR(VLOOKUP($I106,'Institution Evaluation'!$A$55:$F$346,2,0),IFERROR(VLOOKUP($I106,'Privacy Analyst Evaluation'!$A$46:$F$120,2,0),""))</f>
        <v/>
      </c>
      <c r="K106" s="216" t="str">
        <f ca="1">IFERROR(VLOOKUP($I106,'Institution Evaluation'!$A$55:$F$346,3,0),IFERROR(VLOOKUP($I106,'Privacy Analyst Evaluation'!$A$46:$F$120,3,0),""))&amp;""</f>
        <v/>
      </c>
      <c r="L106" s="216" t="str">
        <f ca="1">IFERROR(VLOOKUP($I106,'Institution Evaluation'!$A$55:$F$346,4,0),IFERROR(VLOOKUP($I106,'Privacy Analyst Evaluation'!$A$46:$F$120,4,0),""))&amp;""</f>
        <v/>
      </c>
      <c r="M106" s="216" t="str">
        <f ca="1">IFERROR(VLOOKUP($I106,'Institution Evaluation'!$A$55:$F$346,6,0),IFERROR(VLOOKUP($I106,'Privacy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17">
      <c r="A107" s="216">
        <f>IFERROR(IF($A106+1&gt;'(backend scoring)'!$T$335,"",$A106+1),"")</f>
        <v>83</v>
      </c>
      <c r="B107" s="216" t="e">
        <f ca="1">_xlfn.XLOOKUP($A107,'(backend scoring)'!$V$2:$V$333,'(backend scoring)'!$A$2:$A$333,"")</f>
        <v>#NAME?</v>
      </c>
      <c r="C107" s="216" t="str">
        <f ca="1">IFERROR(VLOOKUP($B107,'Institution Evaluation'!$A$55:$F$346,2,0),IFERROR(VLOOKUP($B107,'Privacy Analyst Evaluation'!$A$46:$F$120,2,0),""))&amp;""</f>
        <v/>
      </c>
      <c r="D107" s="216" t="str">
        <f ca="1">IFERROR(VLOOKUP($B107,'Institution Evaluation'!$A$55:$F$346,3,0),IFERROR(VLOOKUP($B107,'Privacy Analyst Evaluation'!$A$46:$F$120,3,0),""))&amp;""</f>
        <v/>
      </c>
      <c r="E107" s="216" t="str">
        <f ca="1">IFERROR(VLOOKUP($B107,'Institution Evaluation'!$A$55:$F$346,4,0),IFERROR(VLOOKUP($B107,'Privacy Analyst Evaluation'!$A$46:$F$120,4,0),""))&amp;""</f>
        <v/>
      </c>
      <c r="F107" s="216" t="str">
        <f ca="1">IFERROR(VLOOKUP($B107,'Institution Evaluation'!$A$55:$F$346,6,0),IFERROR(VLOOKUP($B107,'Privacy Analyst Evaluation'!$A$46:$F$120,6,0),""))&amp;""</f>
        <v/>
      </c>
      <c r="G107" s="217"/>
      <c r="H107" s="216" t="str">
        <f>IFERROR(IF($H106+1&gt;'(backend scoring)'!$Q$335,"",$H106+1),"")</f>
        <v/>
      </c>
      <c r="I107" s="216" t="e">
        <f ca="1">_xlfn.XLOOKUP($H107,'(backend scoring)'!$S$2:$S$333,'(backend scoring)'!$A$2:$A$333,"")</f>
        <v>#NAME?</v>
      </c>
      <c r="J107" s="216" t="str">
        <f ca="1">IFERROR(VLOOKUP($I107,'Institution Evaluation'!$A$55:$F$346,2,0),IFERROR(VLOOKUP($I107,'Privacy Analyst Evaluation'!$A$46:$F$120,2,0),""))</f>
        <v/>
      </c>
      <c r="K107" s="216" t="str">
        <f ca="1">IFERROR(VLOOKUP($I107,'Institution Evaluation'!$A$55:$F$346,3,0),IFERROR(VLOOKUP($I107,'Privacy Analyst Evaluation'!$A$46:$F$120,3,0),""))&amp;""</f>
        <v/>
      </c>
      <c r="L107" s="216" t="str">
        <f ca="1">IFERROR(VLOOKUP($I107,'Institution Evaluation'!$A$55:$F$346,4,0),IFERROR(VLOOKUP($I107,'Privacy Analyst Evaluation'!$A$46:$F$120,4,0),""))&amp;""</f>
        <v/>
      </c>
      <c r="M107" s="216" t="str">
        <f ca="1">IFERROR(VLOOKUP($I107,'Institution Evaluation'!$A$55:$F$346,6,0),IFERROR(VLOOKUP($I107,'Privacy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17">
      <c r="A108" s="216">
        <f>IFERROR(IF($A107+1&gt;'(backend scoring)'!$T$335,"",$A107+1),"")</f>
        <v>84</v>
      </c>
      <c r="B108" s="216" t="e">
        <f ca="1">_xlfn.XLOOKUP($A108,'(backend scoring)'!$V$2:$V$333,'(backend scoring)'!$A$2:$A$333,"")</f>
        <v>#NAME?</v>
      </c>
      <c r="C108" s="216" t="str">
        <f ca="1">IFERROR(VLOOKUP($B108,'Institution Evaluation'!$A$55:$F$346,2,0),IFERROR(VLOOKUP($B108,'Privacy Analyst Evaluation'!$A$46:$F$120,2,0),""))&amp;""</f>
        <v/>
      </c>
      <c r="D108" s="216" t="str">
        <f ca="1">IFERROR(VLOOKUP($B108,'Institution Evaluation'!$A$55:$F$346,3,0),IFERROR(VLOOKUP($B108,'Privacy Analyst Evaluation'!$A$46:$F$120,3,0),""))&amp;""</f>
        <v/>
      </c>
      <c r="E108" s="216" t="str">
        <f ca="1">IFERROR(VLOOKUP($B108,'Institution Evaluation'!$A$55:$F$346,4,0),IFERROR(VLOOKUP($B108,'Privacy Analyst Evaluation'!$A$46:$F$120,4,0),""))&amp;""</f>
        <v/>
      </c>
      <c r="F108" s="216" t="str">
        <f ca="1">IFERROR(VLOOKUP($B108,'Institution Evaluation'!$A$55:$F$346,6,0),IFERROR(VLOOKUP($B108,'Privacy Analyst Evaluation'!$A$46:$F$120,6,0),""))&amp;""</f>
        <v/>
      </c>
      <c r="G108" s="217"/>
      <c r="H108" s="216" t="str">
        <f>IFERROR(IF($H107+1&gt;'(backend scoring)'!$Q$335,"",$H107+1),"")</f>
        <v/>
      </c>
      <c r="I108" s="216" t="e">
        <f ca="1">_xlfn.XLOOKUP($H108,'(backend scoring)'!$S$2:$S$333,'(backend scoring)'!$A$2:$A$333,"")</f>
        <v>#NAME?</v>
      </c>
      <c r="J108" s="216" t="str">
        <f ca="1">IFERROR(VLOOKUP($I108,'Institution Evaluation'!$A$55:$F$346,2,0),IFERROR(VLOOKUP($I108,'Privacy Analyst Evaluation'!$A$46:$F$120,2,0),""))</f>
        <v/>
      </c>
      <c r="K108" s="216" t="str">
        <f ca="1">IFERROR(VLOOKUP($I108,'Institution Evaluation'!$A$55:$F$346,3,0),IFERROR(VLOOKUP($I108,'Privacy Analyst Evaluation'!$A$46:$F$120,3,0),""))&amp;""</f>
        <v/>
      </c>
      <c r="L108" s="216" t="str">
        <f ca="1">IFERROR(VLOOKUP($I108,'Institution Evaluation'!$A$55:$F$346,4,0),IFERROR(VLOOKUP($I108,'Privacy Analyst Evaluation'!$A$46:$F$120,4,0),""))&amp;""</f>
        <v/>
      </c>
      <c r="M108" s="216" t="str">
        <f ca="1">IFERROR(VLOOKUP($I108,'Institution Evaluation'!$A$55:$F$346,6,0),IFERROR(VLOOKUP($I108,'Privacy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17">
      <c r="A109" s="216">
        <f>IFERROR(IF($A108+1&gt;'(backend scoring)'!$T$335,"",$A108+1),"")</f>
        <v>85</v>
      </c>
      <c r="B109" s="216" t="e">
        <f ca="1">_xlfn.XLOOKUP($A109,'(backend scoring)'!$V$2:$V$333,'(backend scoring)'!$A$2:$A$333,"")</f>
        <v>#NAME?</v>
      </c>
      <c r="C109" s="216" t="str">
        <f ca="1">IFERROR(VLOOKUP($B109,'Institution Evaluation'!$A$55:$F$346,2,0),IFERROR(VLOOKUP($B109,'Privacy Analyst Evaluation'!$A$46:$F$120,2,0),""))&amp;""</f>
        <v/>
      </c>
      <c r="D109" s="216" t="str">
        <f ca="1">IFERROR(VLOOKUP($B109,'Institution Evaluation'!$A$55:$F$346,3,0),IFERROR(VLOOKUP($B109,'Privacy Analyst Evaluation'!$A$46:$F$120,3,0),""))&amp;""</f>
        <v/>
      </c>
      <c r="E109" s="216" t="str">
        <f ca="1">IFERROR(VLOOKUP($B109,'Institution Evaluation'!$A$55:$F$346,4,0),IFERROR(VLOOKUP($B109,'Privacy Analyst Evaluation'!$A$46:$F$120,4,0),""))&amp;""</f>
        <v/>
      </c>
      <c r="F109" s="216" t="str">
        <f ca="1">IFERROR(VLOOKUP($B109,'Institution Evaluation'!$A$55:$F$346,6,0),IFERROR(VLOOKUP($B109,'Privacy Analyst Evaluation'!$A$46:$F$120,6,0),""))&amp;""</f>
        <v/>
      </c>
      <c r="G109" s="217"/>
      <c r="H109" s="216" t="str">
        <f>IFERROR(IF($H108+1&gt;'(backend scoring)'!$Q$335,"",$H108+1),"")</f>
        <v/>
      </c>
      <c r="I109" s="216" t="e">
        <f ca="1">_xlfn.XLOOKUP($H109,'(backend scoring)'!$S$2:$S$333,'(backend scoring)'!$A$2:$A$333,"")</f>
        <v>#NAME?</v>
      </c>
      <c r="J109" s="216" t="str">
        <f ca="1">IFERROR(VLOOKUP($I109,'Institution Evaluation'!$A$55:$F$346,2,0),IFERROR(VLOOKUP($I109,'Privacy Analyst Evaluation'!$A$46:$F$120,2,0),""))</f>
        <v/>
      </c>
      <c r="K109" s="216" t="str">
        <f ca="1">IFERROR(VLOOKUP($I109,'Institution Evaluation'!$A$55:$F$346,3,0),IFERROR(VLOOKUP($I109,'Privacy Analyst Evaluation'!$A$46:$F$120,3,0),""))&amp;""</f>
        <v/>
      </c>
      <c r="L109" s="216" t="str">
        <f ca="1">IFERROR(VLOOKUP($I109,'Institution Evaluation'!$A$55:$F$346,4,0),IFERROR(VLOOKUP($I109,'Privacy Analyst Evaluation'!$A$46:$F$120,4,0),""))&amp;""</f>
        <v/>
      </c>
      <c r="M109" s="216" t="str">
        <f ca="1">IFERROR(VLOOKUP($I109,'Institution Evaluation'!$A$55:$F$346,6,0),IFERROR(VLOOKUP($I109,'Privacy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17">
      <c r="A110" s="216">
        <f>IFERROR(IF($A109+1&gt;'(backend scoring)'!$T$335,"",$A109+1),"")</f>
        <v>86</v>
      </c>
      <c r="B110" s="216" t="e">
        <f ca="1">_xlfn.XLOOKUP($A110,'(backend scoring)'!$V$2:$V$333,'(backend scoring)'!$A$2:$A$333,"")</f>
        <v>#NAME?</v>
      </c>
      <c r="C110" s="216" t="str">
        <f ca="1">IFERROR(VLOOKUP($B110,'Institution Evaluation'!$A$55:$F$346,2,0),IFERROR(VLOOKUP($B110,'Privacy Analyst Evaluation'!$A$46:$F$120,2,0),""))&amp;""</f>
        <v/>
      </c>
      <c r="D110" s="216" t="str">
        <f ca="1">IFERROR(VLOOKUP($B110,'Institution Evaluation'!$A$55:$F$346,3,0),IFERROR(VLOOKUP($B110,'Privacy Analyst Evaluation'!$A$46:$F$120,3,0),""))&amp;""</f>
        <v/>
      </c>
      <c r="E110" s="216" t="str">
        <f ca="1">IFERROR(VLOOKUP($B110,'Institution Evaluation'!$A$55:$F$346,4,0),IFERROR(VLOOKUP($B110,'Privacy Analyst Evaluation'!$A$46:$F$120,4,0),""))&amp;""</f>
        <v/>
      </c>
      <c r="F110" s="216" t="str">
        <f ca="1">IFERROR(VLOOKUP($B110,'Institution Evaluation'!$A$55:$F$346,6,0),IFERROR(VLOOKUP($B110,'Privacy Analyst Evaluation'!$A$46:$F$120,6,0),""))&amp;""</f>
        <v/>
      </c>
      <c r="G110" s="217"/>
      <c r="H110" s="216" t="str">
        <f>IFERROR(IF($H109+1&gt;'(backend scoring)'!$Q$335,"",$H109+1),"")</f>
        <v/>
      </c>
      <c r="I110" s="216" t="e">
        <f ca="1">_xlfn.XLOOKUP($H110,'(backend scoring)'!$S$2:$S$333,'(backend scoring)'!$A$2:$A$333,"")</f>
        <v>#NAME?</v>
      </c>
      <c r="J110" s="216" t="str">
        <f ca="1">IFERROR(VLOOKUP($I110,'Institution Evaluation'!$A$55:$F$346,2,0),IFERROR(VLOOKUP($I110,'Privacy Analyst Evaluation'!$A$46:$F$120,2,0),""))</f>
        <v/>
      </c>
      <c r="K110" s="216" t="str">
        <f ca="1">IFERROR(VLOOKUP($I110,'Institution Evaluation'!$A$55:$F$346,3,0),IFERROR(VLOOKUP($I110,'Privacy Analyst Evaluation'!$A$46:$F$120,3,0),""))&amp;""</f>
        <v/>
      </c>
      <c r="L110" s="216" t="str">
        <f ca="1">IFERROR(VLOOKUP($I110,'Institution Evaluation'!$A$55:$F$346,4,0),IFERROR(VLOOKUP($I110,'Privacy Analyst Evaluation'!$A$46:$F$120,4,0),""))&amp;""</f>
        <v/>
      </c>
      <c r="M110" s="216" t="str">
        <f ca="1">IFERROR(VLOOKUP($I110,'Institution Evaluation'!$A$55:$F$346,6,0),IFERROR(VLOOKUP($I110,'Privacy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17">
      <c r="A111" s="216">
        <f>IFERROR(IF($A110+1&gt;'(backend scoring)'!$T$335,"",$A110+1),"")</f>
        <v>87</v>
      </c>
      <c r="B111" s="216" t="e">
        <f ca="1">_xlfn.XLOOKUP($A111,'(backend scoring)'!$V$2:$V$333,'(backend scoring)'!$A$2:$A$333,"")</f>
        <v>#NAME?</v>
      </c>
      <c r="C111" s="216" t="str">
        <f ca="1">IFERROR(VLOOKUP($B111,'Institution Evaluation'!$A$55:$F$346,2,0),IFERROR(VLOOKUP($B111,'Privacy Analyst Evaluation'!$A$46:$F$120,2,0),""))&amp;""</f>
        <v/>
      </c>
      <c r="D111" s="216" t="str">
        <f ca="1">IFERROR(VLOOKUP($B111,'Institution Evaluation'!$A$55:$F$346,3,0),IFERROR(VLOOKUP($B111,'Privacy Analyst Evaluation'!$A$46:$F$120,3,0),""))&amp;""</f>
        <v/>
      </c>
      <c r="E111" s="216" t="str">
        <f ca="1">IFERROR(VLOOKUP($B111,'Institution Evaluation'!$A$55:$F$346,4,0),IFERROR(VLOOKUP($B111,'Privacy Analyst Evaluation'!$A$46:$F$120,4,0),""))&amp;""</f>
        <v/>
      </c>
      <c r="F111" s="216" t="str">
        <f ca="1">IFERROR(VLOOKUP($B111,'Institution Evaluation'!$A$55:$F$346,6,0),IFERROR(VLOOKUP($B111,'Privacy Analyst Evaluation'!$A$46:$F$120,6,0),""))&amp;""</f>
        <v/>
      </c>
      <c r="G111" s="217"/>
      <c r="H111" s="216" t="str">
        <f>IFERROR(IF($H110+1&gt;'(backend scoring)'!$Q$335,"",$H110+1),"")</f>
        <v/>
      </c>
      <c r="I111" s="216" t="e">
        <f ca="1">_xlfn.XLOOKUP($H111,'(backend scoring)'!$S$2:$S$333,'(backend scoring)'!$A$2:$A$333,"")</f>
        <v>#NAME?</v>
      </c>
      <c r="J111" s="216" t="str">
        <f ca="1">IFERROR(VLOOKUP($I111,'Institution Evaluation'!$A$55:$F$346,2,0),IFERROR(VLOOKUP($I111,'Privacy Analyst Evaluation'!$A$46:$F$120,2,0),""))</f>
        <v/>
      </c>
      <c r="K111" s="216" t="str">
        <f ca="1">IFERROR(VLOOKUP($I111,'Institution Evaluation'!$A$55:$F$346,3,0),IFERROR(VLOOKUP($I111,'Privacy Analyst Evaluation'!$A$46:$F$120,3,0),""))&amp;""</f>
        <v/>
      </c>
      <c r="L111" s="216" t="str">
        <f ca="1">IFERROR(VLOOKUP($I111,'Institution Evaluation'!$A$55:$F$346,4,0),IFERROR(VLOOKUP($I111,'Privacy Analyst Evaluation'!$A$46:$F$120,4,0),""))&amp;""</f>
        <v/>
      </c>
      <c r="M111" s="216" t="str">
        <f ca="1">IFERROR(VLOOKUP($I111,'Institution Evaluation'!$A$55:$F$346,6,0),IFERROR(VLOOKUP($I111,'Privacy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17">
      <c r="A112" s="216">
        <f>IFERROR(IF($A111+1&gt;'(backend scoring)'!$T$335,"",$A111+1),"")</f>
        <v>88</v>
      </c>
      <c r="B112" s="216" t="e">
        <f ca="1">_xlfn.XLOOKUP($A112,'(backend scoring)'!$V$2:$V$333,'(backend scoring)'!$A$2:$A$333,"")</f>
        <v>#NAME?</v>
      </c>
      <c r="C112" s="216" t="str">
        <f ca="1">IFERROR(VLOOKUP($B112,'Institution Evaluation'!$A$55:$F$346,2,0),IFERROR(VLOOKUP($B112,'Privacy Analyst Evaluation'!$A$46:$F$120,2,0),""))&amp;""</f>
        <v/>
      </c>
      <c r="D112" s="216" t="str">
        <f ca="1">IFERROR(VLOOKUP($B112,'Institution Evaluation'!$A$55:$F$346,3,0),IFERROR(VLOOKUP($B112,'Privacy Analyst Evaluation'!$A$46:$F$120,3,0),""))&amp;""</f>
        <v/>
      </c>
      <c r="E112" s="216" t="str">
        <f ca="1">IFERROR(VLOOKUP($B112,'Institution Evaluation'!$A$55:$F$346,4,0),IFERROR(VLOOKUP($B112,'Privacy Analyst Evaluation'!$A$46:$F$120,4,0),""))&amp;""</f>
        <v/>
      </c>
      <c r="F112" s="216" t="str">
        <f ca="1">IFERROR(VLOOKUP($B112,'Institution Evaluation'!$A$55:$F$346,6,0),IFERROR(VLOOKUP($B112,'Privacy Analyst Evaluation'!$A$46:$F$120,6,0),""))&amp;""</f>
        <v/>
      </c>
      <c r="G112" s="217"/>
      <c r="H112" s="216" t="str">
        <f>IFERROR(IF($H111+1&gt;'(backend scoring)'!$Q$335,"",$H111+1),"")</f>
        <v/>
      </c>
      <c r="I112" s="216" t="e">
        <f ca="1">_xlfn.XLOOKUP($H112,'(backend scoring)'!$S$2:$S$333,'(backend scoring)'!$A$2:$A$333,"")</f>
        <v>#NAME?</v>
      </c>
      <c r="J112" s="216" t="str">
        <f ca="1">IFERROR(VLOOKUP($I112,'Institution Evaluation'!$A$55:$F$346,2,0),IFERROR(VLOOKUP($I112,'Privacy Analyst Evaluation'!$A$46:$F$120,2,0),""))</f>
        <v/>
      </c>
      <c r="K112" s="216" t="str">
        <f ca="1">IFERROR(VLOOKUP($I112,'Institution Evaluation'!$A$55:$F$346,3,0),IFERROR(VLOOKUP($I112,'Privacy Analyst Evaluation'!$A$46:$F$120,3,0),""))&amp;""</f>
        <v/>
      </c>
      <c r="L112" s="216" t="str">
        <f ca="1">IFERROR(VLOOKUP($I112,'Institution Evaluation'!$A$55:$F$346,4,0),IFERROR(VLOOKUP($I112,'Privacy Analyst Evaluation'!$A$46:$F$120,4,0),""))&amp;""</f>
        <v/>
      </c>
      <c r="M112" s="216" t="str">
        <f ca="1">IFERROR(VLOOKUP($I112,'Institution Evaluation'!$A$55:$F$346,6,0),IFERROR(VLOOKUP($I112,'Privacy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ht="17">
      <c r="A113" s="216">
        <f>IFERROR(IF($A112+1&gt;'(backend scoring)'!$T$335,"",$A112+1),"")</f>
        <v>89</v>
      </c>
      <c r="B113" s="216" t="e">
        <f ca="1">_xlfn.XLOOKUP($A113,'(backend scoring)'!$V$2:$V$333,'(backend scoring)'!$A$2:$A$333,"")</f>
        <v>#NAME?</v>
      </c>
      <c r="C113" s="216" t="str">
        <f ca="1">IFERROR(VLOOKUP($B113,'Institution Evaluation'!$A$55:$F$346,2,0),IFERROR(VLOOKUP($B113,'Privacy Analyst Evaluation'!$A$46:$F$120,2,0),""))&amp;""</f>
        <v/>
      </c>
      <c r="D113" s="216" t="str">
        <f ca="1">IFERROR(VLOOKUP($B113,'Institution Evaluation'!$A$55:$F$346,3,0),IFERROR(VLOOKUP($B113,'Privacy Analyst Evaluation'!$A$46:$F$120,3,0),""))&amp;""</f>
        <v/>
      </c>
      <c r="E113" s="216" t="str">
        <f ca="1">IFERROR(VLOOKUP($B113,'Institution Evaluation'!$A$55:$F$346,4,0),IFERROR(VLOOKUP($B113,'Privacy Analyst Evaluation'!$A$46:$F$120,4,0),""))&amp;""</f>
        <v/>
      </c>
      <c r="F113" s="216" t="str">
        <f ca="1">IFERROR(VLOOKUP($B113,'Institution Evaluation'!$A$55:$F$346,6,0),IFERROR(VLOOKUP($B113,'Privacy Analyst Evaluation'!$A$46:$F$120,6,0),""))&amp;""</f>
        <v/>
      </c>
      <c r="G113" s="217"/>
      <c r="H113" s="216" t="str">
        <f>IFERROR(IF($H112+1&gt;'(backend scoring)'!$Q$335,"",$H112+1),"")</f>
        <v/>
      </c>
      <c r="I113" s="216" t="e">
        <f ca="1">_xlfn.XLOOKUP($H113,'(backend scoring)'!$S$2:$S$333,'(backend scoring)'!$A$2:$A$333,"")</f>
        <v>#NAME?</v>
      </c>
      <c r="J113" s="216" t="str">
        <f ca="1">IFERROR(VLOOKUP($I113,'Institution Evaluation'!$A$55:$F$346,2,0),IFERROR(VLOOKUP($I113,'Privacy Analyst Evaluation'!$A$46:$F$120,2,0),""))</f>
        <v/>
      </c>
      <c r="K113" s="216" t="str">
        <f ca="1">IFERROR(VLOOKUP($I113,'Institution Evaluation'!$A$55:$F$346,3,0),IFERROR(VLOOKUP($I113,'Privacy Analyst Evaluation'!$A$46:$F$120,3,0),""))&amp;""</f>
        <v/>
      </c>
      <c r="L113" s="216" t="str">
        <f ca="1">IFERROR(VLOOKUP($I113,'Institution Evaluation'!$A$55:$F$346,4,0),IFERROR(VLOOKUP($I113,'Privacy Analyst Evaluation'!$A$46:$F$120,4,0),""))&amp;""</f>
        <v/>
      </c>
      <c r="M113" s="216" t="str">
        <f ca="1">IFERROR(VLOOKUP($I113,'Institution Evaluation'!$A$55:$F$346,6,0),IFERROR(VLOOKUP($I113,'Privacy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ht="17">
      <c r="A114" s="216">
        <f>IFERROR(IF($A113+1&gt;'(backend scoring)'!$T$335,"",$A113+1),"")</f>
        <v>90</v>
      </c>
      <c r="B114" s="216" t="e">
        <f ca="1">_xlfn.XLOOKUP($A114,'(backend scoring)'!$V$2:$V$333,'(backend scoring)'!$A$2:$A$333,"")</f>
        <v>#NAME?</v>
      </c>
      <c r="C114" s="216" t="str">
        <f ca="1">IFERROR(VLOOKUP($B114,'Institution Evaluation'!$A$55:$F$346,2,0),IFERROR(VLOOKUP($B114,'Privacy Analyst Evaluation'!$A$46:$F$120,2,0),""))&amp;""</f>
        <v/>
      </c>
      <c r="D114" s="216" t="str">
        <f ca="1">IFERROR(VLOOKUP($B114,'Institution Evaluation'!$A$55:$F$346,3,0),IFERROR(VLOOKUP($B114,'Privacy Analyst Evaluation'!$A$46:$F$120,3,0),""))&amp;""</f>
        <v/>
      </c>
      <c r="E114" s="216" t="str">
        <f ca="1">IFERROR(VLOOKUP($B114,'Institution Evaluation'!$A$55:$F$346,4,0),IFERROR(VLOOKUP($B114,'Privacy Analyst Evaluation'!$A$46:$F$120,4,0),""))&amp;""</f>
        <v/>
      </c>
      <c r="F114" s="216" t="str">
        <f ca="1">IFERROR(VLOOKUP($B114,'Institution Evaluation'!$A$55:$F$346,6,0),IFERROR(VLOOKUP($B114,'Privacy Analyst Evaluation'!$A$46:$F$120,6,0),""))&amp;""</f>
        <v/>
      </c>
      <c r="G114" s="217"/>
      <c r="H114" s="216" t="str">
        <f>IFERROR(IF($H113+1&gt;'(backend scoring)'!$Q$335,"",$H113+1),"")</f>
        <v/>
      </c>
      <c r="I114" s="216" t="e">
        <f ca="1">_xlfn.XLOOKUP($H114,'(backend scoring)'!$S$2:$S$333,'(backend scoring)'!$A$2:$A$333,"")</f>
        <v>#NAME?</v>
      </c>
      <c r="J114" s="216" t="str">
        <f ca="1">IFERROR(VLOOKUP($I114,'Institution Evaluation'!$A$55:$F$346,2,0),IFERROR(VLOOKUP($I114,'Privacy Analyst Evaluation'!$A$46:$F$120,2,0),""))</f>
        <v/>
      </c>
      <c r="K114" s="216" t="str">
        <f ca="1">IFERROR(VLOOKUP($I114,'Institution Evaluation'!$A$55:$F$346,3,0),IFERROR(VLOOKUP($I114,'Privacy Analyst Evaluation'!$A$46:$F$120,3,0),""))&amp;""</f>
        <v/>
      </c>
      <c r="L114" s="216" t="str">
        <f ca="1">IFERROR(VLOOKUP($I114,'Institution Evaluation'!$A$55:$F$346,4,0),IFERROR(VLOOKUP($I114,'Privacy Analyst Evaluation'!$A$46:$F$120,4,0),""))&amp;""</f>
        <v/>
      </c>
      <c r="M114" s="216" t="str">
        <f ca="1">IFERROR(VLOOKUP($I114,'Institution Evaluation'!$A$55:$F$346,6,0),IFERROR(VLOOKUP($I114,'Privacy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ht="17">
      <c r="A115" s="216" t="str">
        <f>IFERROR(IF($A114+1&gt;'(backend scoring)'!$T$335,"",$A114+1),"")</f>
        <v/>
      </c>
      <c r="B115" s="216" t="e">
        <f ca="1">_xlfn.XLOOKUP($A115,'(backend scoring)'!$V$2:$V$333,'(backend scoring)'!$A$2:$A$333,"")</f>
        <v>#NAME?</v>
      </c>
      <c r="C115" s="216" t="str">
        <f ca="1">IFERROR(VLOOKUP($B115,'Institution Evaluation'!$A$55:$F$346,2,0),IFERROR(VLOOKUP($B115,'Privacy Analyst Evaluation'!$A$46:$F$120,2,0),""))&amp;""</f>
        <v/>
      </c>
      <c r="D115" s="216" t="str">
        <f ca="1">IFERROR(VLOOKUP($B115,'Institution Evaluation'!$A$55:$F$346,3,0),IFERROR(VLOOKUP($B115,'Privacy Analyst Evaluation'!$A$46:$F$120,3,0),""))&amp;""</f>
        <v/>
      </c>
      <c r="E115" s="216" t="str">
        <f ca="1">IFERROR(VLOOKUP($B115,'Institution Evaluation'!$A$55:$F$346,4,0),IFERROR(VLOOKUP($B115,'Privacy Analyst Evaluation'!$A$46:$F$120,4,0),""))&amp;""</f>
        <v/>
      </c>
      <c r="F115" s="216" t="str">
        <f ca="1">IFERROR(VLOOKUP($B115,'Institution Evaluation'!$A$55:$F$346,6,0),IFERROR(VLOOKUP($B115,'Privacy Analyst Evaluation'!$A$46:$F$120,6,0),""))&amp;""</f>
        <v/>
      </c>
      <c r="G115" s="217"/>
      <c r="H115" s="216" t="str">
        <f>IFERROR(IF($H114+1&gt;'(backend scoring)'!$Q$335,"",$H114+1),"")</f>
        <v/>
      </c>
      <c r="I115" s="216" t="e">
        <f ca="1">_xlfn.XLOOKUP($H115,'(backend scoring)'!$S$2:$S$333,'(backend scoring)'!$A$2:$A$333,"")</f>
        <v>#NAME?</v>
      </c>
      <c r="J115" s="216" t="str">
        <f ca="1">IFERROR(VLOOKUP($I115,'Institution Evaluation'!$A$55:$F$346,2,0),IFERROR(VLOOKUP($I115,'Privacy Analyst Evaluation'!$A$46:$F$120,2,0),""))</f>
        <v/>
      </c>
      <c r="K115" s="216" t="str">
        <f ca="1">IFERROR(VLOOKUP($I115,'Institution Evaluation'!$A$55:$F$346,3,0),IFERROR(VLOOKUP($I115,'Privacy Analyst Evaluation'!$A$46:$F$120,3,0),""))&amp;""</f>
        <v/>
      </c>
      <c r="L115" s="216" t="str">
        <f ca="1">IFERROR(VLOOKUP($I115,'Institution Evaluation'!$A$55:$F$346,4,0),IFERROR(VLOOKUP($I115,'Privacy Analyst Evaluation'!$A$46:$F$120,4,0),""))&amp;""</f>
        <v/>
      </c>
      <c r="M115" s="216" t="str">
        <f ca="1">IFERROR(VLOOKUP($I115,'Institution Evaluation'!$A$55:$F$346,6,0),IFERROR(VLOOKUP($I115,'Privacy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ht="17">
      <c r="A116" s="216" t="str">
        <f>IFERROR(IF($A115+1&gt;'(backend scoring)'!$T$335,"",$A115+1),"")</f>
        <v/>
      </c>
      <c r="B116" s="216" t="e">
        <f ca="1">_xlfn.XLOOKUP($A116,'(backend scoring)'!$V$2:$V$333,'(backend scoring)'!$A$2:$A$333,"")</f>
        <v>#NAME?</v>
      </c>
      <c r="C116" s="216" t="str">
        <f ca="1">IFERROR(VLOOKUP($B116,'Institution Evaluation'!$A$55:$F$346,2,0),IFERROR(VLOOKUP($B116,'Privacy Analyst Evaluation'!$A$46:$F$120,2,0),""))&amp;""</f>
        <v/>
      </c>
      <c r="D116" s="216" t="str">
        <f ca="1">IFERROR(VLOOKUP($B116,'Institution Evaluation'!$A$55:$F$346,3,0),IFERROR(VLOOKUP($B116,'Privacy Analyst Evaluation'!$A$46:$F$120,3,0),""))&amp;""</f>
        <v/>
      </c>
      <c r="E116" s="216" t="str">
        <f ca="1">IFERROR(VLOOKUP($B116,'Institution Evaluation'!$A$55:$F$346,4,0),IFERROR(VLOOKUP($B116,'Privacy Analyst Evaluation'!$A$46:$F$120,4,0),""))&amp;""</f>
        <v/>
      </c>
      <c r="F116" s="216" t="str">
        <f ca="1">IFERROR(VLOOKUP($B116,'Institution Evaluation'!$A$55:$F$346,6,0),IFERROR(VLOOKUP($B116,'Privacy Analyst Evaluation'!$A$46:$F$120,6,0),""))&amp;""</f>
        <v/>
      </c>
      <c r="G116" s="217"/>
      <c r="H116" s="216" t="str">
        <f>IFERROR(IF($H115+1&gt;'(backend scoring)'!$Q$335,"",$H115+1),"")</f>
        <v/>
      </c>
      <c r="I116" s="216" t="e">
        <f ca="1">_xlfn.XLOOKUP($H116,'(backend scoring)'!$S$2:$S$333,'(backend scoring)'!$A$2:$A$333,"")</f>
        <v>#NAME?</v>
      </c>
      <c r="J116" s="216" t="str">
        <f ca="1">IFERROR(VLOOKUP($I116,'Institution Evaluation'!$A$55:$F$346,2,0),IFERROR(VLOOKUP($I116,'Privacy Analyst Evaluation'!$A$46:$F$120,2,0),""))</f>
        <v/>
      </c>
      <c r="K116" s="216" t="str">
        <f ca="1">IFERROR(VLOOKUP($I116,'Institution Evaluation'!$A$55:$F$346,3,0),IFERROR(VLOOKUP($I116,'Privacy Analyst Evaluation'!$A$46:$F$120,3,0),""))&amp;""</f>
        <v/>
      </c>
      <c r="L116" s="216" t="str">
        <f ca="1">IFERROR(VLOOKUP($I116,'Institution Evaluation'!$A$55:$F$346,4,0),IFERROR(VLOOKUP($I116,'Privacy Analyst Evaluation'!$A$46:$F$120,4,0),""))&amp;""</f>
        <v/>
      </c>
      <c r="M116" s="216" t="str">
        <f ca="1">IFERROR(VLOOKUP($I116,'Institution Evaluation'!$A$55:$F$346,6,0),IFERROR(VLOOKUP($I116,'Privacy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ht="17">
      <c r="A117" s="216" t="str">
        <f>IFERROR(IF($A116+1&gt;'(backend scoring)'!$T$335,"",$A116+1),"")</f>
        <v/>
      </c>
      <c r="B117" s="216" t="e">
        <f ca="1">_xlfn.XLOOKUP($A117,'(backend scoring)'!$V$2:$V$333,'(backend scoring)'!$A$2:$A$333,"")</f>
        <v>#NAME?</v>
      </c>
      <c r="C117" s="216" t="str">
        <f ca="1">IFERROR(VLOOKUP($B117,'Institution Evaluation'!$A$55:$F$346,2,0),IFERROR(VLOOKUP($B117,'Privacy Analyst Evaluation'!$A$46:$F$120,2,0),""))&amp;""</f>
        <v/>
      </c>
      <c r="D117" s="216" t="str">
        <f ca="1">IFERROR(VLOOKUP($B117,'Institution Evaluation'!$A$55:$F$346,3,0),IFERROR(VLOOKUP($B117,'Privacy Analyst Evaluation'!$A$46:$F$120,3,0),""))&amp;""</f>
        <v/>
      </c>
      <c r="E117" s="216" t="str">
        <f ca="1">IFERROR(VLOOKUP($B117,'Institution Evaluation'!$A$55:$F$346,4,0),IFERROR(VLOOKUP($B117,'Privacy Analyst Evaluation'!$A$46:$F$120,4,0),""))&amp;""</f>
        <v/>
      </c>
      <c r="F117" s="216" t="str">
        <f ca="1">IFERROR(VLOOKUP($B117,'Institution Evaluation'!$A$55:$F$346,6,0),IFERROR(VLOOKUP($B117,'Privacy Analyst Evaluation'!$A$46:$F$120,6,0),""))&amp;""</f>
        <v/>
      </c>
      <c r="G117" s="217"/>
      <c r="H117" s="216" t="str">
        <f>IFERROR(IF($H116+1&gt;'(backend scoring)'!$Q$335,"",$H116+1),"")</f>
        <v/>
      </c>
      <c r="I117" s="216" t="e">
        <f ca="1">_xlfn.XLOOKUP($H117,'(backend scoring)'!$S$2:$S$333,'(backend scoring)'!$A$2:$A$333,"")</f>
        <v>#NAME?</v>
      </c>
      <c r="J117" s="216" t="str">
        <f ca="1">IFERROR(VLOOKUP($I117,'Institution Evaluation'!$A$55:$F$346,2,0),IFERROR(VLOOKUP($I117,'Privacy Analyst Evaluation'!$A$46:$F$120,2,0),""))</f>
        <v/>
      </c>
      <c r="K117" s="216" t="str">
        <f ca="1">IFERROR(VLOOKUP($I117,'Institution Evaluation'!$A$55:$F$346,3,0),IFERROR(VLOOKUP($I117,'Privacy Analyst Evaluation'!$A$46:$F$120,3,0),""))&amp;""</f>
        <v/>
      </c>
      <c r="L117" s="216" t="str">
        <f ca="1">IFERROR(VLOOKUP($I117,'Institution Evaluation'!$A$55:$F$346,4,0),IFERROR(VLOOKUP($I117,'Privacy Analyst Evaluation'!$A$46:$F$120,4,0),""))&amp;""</f>
        <v/>
      </c>
      <c r="M117" s="216" t="str">
        <f ca="1">IFERROR(VLOOKUP($I117,'Institution Evaluation'!$A$55:$F$346,6,0),IFERROR(VLOOKUP($I117,'Privacy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ht="17">
      <c r="A118" s="216" t="str">
        <f>IFERROR(IF($A117+1&gt;'(backend scoring)'!$T$335,"",$A117+1),"")</f>
        <v/>
      </c>
      <c r="B118" s="216" t="e">
        <f ca="1">_xlfn.XLOOKUP($A118,'(backend scoring)'!$V$2:$V$333,'(backend scoring)'!$A$2:$A$333,"")</f>
        <v>#NAME?</v>
      </c>
      <c r="C118" s="216" t="str">
        <f ca="1">IFERROR(VLOOKUP($B118,'Institution Evaluation'!$A$55:$F$346,2,0),IFERROR(VLOOKUP($B118,'Privacy Analyst Evaluation'!$A$46:$F$120,2,0),""))&amp;""</f>
        <v/>
      </c>
      <c r="D118" s="216" t="str">
        <f ca="1">IFERROR(VLOOKUP($B118,'Institution Evaluation'!$A$55:$F$346,3,0),IFERROR(VLOOKUP($B118,'Privacy Analyst Evaluation'!$A$46:$F$120,3,0),""))&amp;""</f>
        <v/>
      </c>
      <c r="E118" s="216" t="str">
        <f ca="1">IFERROR(VLOOKUP($B118,'Institution Evaluation'!$A$55:$F$346,4,0),IFERROR(VLOOKUP($B118,'Privacy Analyst Evaluation'!$A$46:$F$120,4,0),""))&amp;""</f>
        <v/>
      </c>
      <c r="F118" s="216" t="str">
        <f ca="1">IFERROR(VLOOKUP($B118,'Institution Evaluation'!$A$55:$F$346,6,0),IFERROR(VLOOKUP($B118,'Privacy Analyst Evaluation'!$A$46:$F$120,6,0),""))&amp;""</f>
        <v/>
      </c>
      <c r="G118" s="217"/>
      <c r="H118" s="216" t="str">
        <f>IFERROR(IF($H117+1&gt;'(backend scoring)'!$Q$335,"",$H117+1),"")</f>
        <v/>
      </c>
      <c r="I118" s="216" t="e">
        <f ca="1">_xlfn.XLOOKUP($H118,'(backend scoring)'!$S$2:$S$333,'(backend scoring)'!$A$2:$A$333,"")</f>
        <v>#NAME?</v>
      </c>
      <c r="J118" s="216" t="str">
        <f ca="1">IFERROR(VLOOKUP($I118,'Institution Evaluation'!$A$55:$F$346,2,0),IFERROR(VLOOKUP($I118,'Privacy Analyst Evaluation'!$A$46:$F$120,2,0),""))</f>
        <v/>
      </c>
      <c r="K118" s="216" t="str">
        <f ca="1">IFERROR(VLOOKUP($I118,'Institution Evaluation'!$A$55:$F$346,3,0),IFERROR(VLOOKUP($I118,'Privacy Analyst Evaluation'!$A$46:$F$120,3,0),""))&amp;""</f>
        <v/>
      </c>
      <c r="L118" s="216" t="str">
        <f ca="1">IFERROR(VLOOKUP($I118,'Institution Evaluation'!$A$55:$F$346,4,0),IFERROR(VLOOKUP($I118,'Privacy Analyst Evaluation'!$A$46:$F$120,4,0),""))&amp;""</f>
        <v/>
      </c>
      <c r="M118" s="216" t="str">
        <f ca="1">IFERROR(VLOOKUP($I118,'Institution Evaluation'!$A$55:$F$346,6,0),IFERROR(VLOOKUP($I118,'Privacy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ht="17">
      <c r="A119" s="216" t="str">
        <f>IFERROR(IF($A118+1&gt;'(backend scoring)'!$T$335,"",$A118+1),"")</f>
        <v/>
      </c>
      <c r="B119" s="216" t="e">
        <f ca="1">_xlfn.XLOOKUP($A119,'(backend scoring)'!$V$2:$V$333,'(backend scoring)'!$A$2:$A$333,"")</f>
        <v>#NAME?</v>
      </c>
      <c r="C119" s="216" t="str">
        <f ca="1">IFERROR(VLOOKUP($B119,'Institution Evaluation'!$A$55:$F$346,2,0),IFERROR(VLOOKUP($B119,'Privacy Analyst Evaluation'!$A$46:$F$120,2,0),""))&amp;""</f>
        <v/>
      </c>
      <c r="D119" s="216" t="str">
        <f ca="1">IFERROR(VLOOKUP($B119,'Institution Evaluation'!$A$55:$F$346,3,0),IFERROR(VLOOKUP($B119,'Privacy Analyst Evaluation'!$A$46:$F$120,3,0),""))&amp;""</f>
        <v/>
      </c>
      <c r="E119" s="216" t="str">
        <f ca="1">IFERROR(VLOOKUP($B119,'Institution Evaluation'!$A$55:$F$346,4,0),IFERROR(VLOOKUP($B119,'Privacy Analyst Evaluation'!$A$46:$F$120,4,0),""))&amp;""</f>
        <v/>
      </c>
      <c r="F119" s="216" t="str">
        <f ca="1">IFERROR(VLOOKUP($B119,'Institution Evaluation'!$A$55:$F$346,6,0),IFERROR(VLOOKUP($B119,'Privacy Analyst Evaluation'!$A$46:$F$120,6,0),""))&amp;""</f>
        <v/>
      </c>
      <c r="G119" s="217"/>
      <c r="H119" s="216" t="str">
        <f>IFERROR(IF($H118+1&gt;'(backend scoring)'!$Q$335,"",$H118+1),"")</f>
        <v/>
      </c>
      <c r="I119" s="216" t="e">
        <f ca="1">_xlfn.XLOOKUP($H119,'(backend scoring)'!$S$2:$S$333,'(backend scoring)'!$A$2:$A$333,"")</f>
        <v>#NAME?</v>
      </c>
      <c r="J119" s="216" t="str">
        <f ca="1">IFERROR(VLOOKUP($I119,'Institution Evaluation'!$A$55:$F$346,2,0),IFERROR(VLOOKUP($I119,'Privacy Analyst Evaluation'!$A$46:$F$120,2,0),""))</f>
        <v/>
      </c>
      <c r="K119" s="216" t="str">
        <f ca="1">IFERROR(VLOOKUP($I119,'Institution Evaluation'!$A$55:$F$346,3,0),IFERROR(VLOOKUP($I119,'Privacy Analyst Evaluation'!$A$46:$F$120,3,0),""))&amp;""</f>
        <v/>
      </c>
      <c r="L119" s="216" t="str">
        <f ca="1">IFERROR(VLOOKUP($I119,'Institution Evaluation'!$A$55:$F$346,4,0),IFERROR(VLOOKUP($I119,'Privacy Analyst Evaluation'!$A$46:$F$120,4,0),""))&amp;""</f>
        <v/>
      </c>
      <c r="M119" s="216" t="str">
        <f ca="1">IFERROR(VLOOKUP($I119,'Institution Evaluation'!$A$55:$F$346,6,0),IFERROR(VLOOKUP($I119,'Privacy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ht="17">
      <c r="A120" s="216" t="str">
        <f>IFERROR(IF($A119+1&gt;'(backend scoring)'!$T$335,"",$A119+1),"")</f>
        <v/>
      </c>
      <c r="B120" s="216" t="e">
        <f ca="1">_xlfn.XLOOKUP($A120,'(backend scoring)'!$V$2:$V$333,'(backend scoring)'!$A$2:$A$333,"")</f>
        <v>#NAME?</v>
      </c>
      <c r="C120" s="216" t="str">
        <f ca="1">IFERROR(VLOOKUP($B120,'Institution Evaluation'!$A$55:$F$346,2,0),IFERROR(VLOOKUP($B120,'Privacy Analyst Evaluation'!$A$46:$F$120,2,0),""))&amp;""</f>
        <v/>
      </c>
      <c r="D120" s="216" t="str">
        <f ca="1">IFERROR(VLOOKUP($B120,'Institution Evaluation'!$A$55:$F$346,3,0),IFERROR(VLOOKUP($B120,'Privacy Analyst Evaluation'!$A$46:$F$120,3,0),""))&amp;""</f>
        <v/>
      </c>
      <c r="E120" s="216" t="str">
        <f ca="1">IFERROR(VLOOKUP($B120,'Institution Evaluation'!$A$55:$F$346,4,0),IFERROR(VLOOKUP($B120,'Privacy Analyst Evaluation'!$A$46:$F$120,4,0),""))&amp;""</f>
        <v/>
      </c>
      <c r="F120" s="216" t="str">
        <f ca="1">IFERROR(VLOOKUP($B120,'Institution Evaluation'!$A$55:$F$346,6,0),IFERROR(VLOOKUP($B120,'Privacy Analyst Evaluation'!$A$46:$F$120,6,0),""))&amp;""</f>
        <v/>
      </c>
      <c r="G120" s="217"/>
      <c r="H120" s="216" t="str">
        <f>IFERROR(IF($H119+1&gt;'(backend scoring)'!$Q$335,"",$H119+1),"")</f>
        <v/>
      </c>
      <c r="I120" s="216" t="e">
        <f ca="1">_xlfn.XLOOKUP($H120,'(backend scoring)'!$S$2:$S$333,'(backend scoring)'!$A$2:$A$333,"")</f>
        <v>#NAME?</v>
      </c>
      <c r="J120" s="216" t="str">
        <f ca="1">IFERROR(VLOOKUP($I120,'Institution Evaluation'!$A$55:$F$346,2,0),IFERROR(VLOOKUP($I120,'Privacy Analyst Evaluation'!$A$46:$F$120,2,0),""))</f>
        <v/>
      </c>
      <c r="K120" s="216" t="str">
        <f ca="1">IFERROR(VLOOKUP($I120,'Institution Evaluation'!$A$55:$F$346,3,0),IFERROR(VLOOKUP($I120,'Privacy Analyst Evaluation'!$A$46:$F$120,3,0),""))&amp;""</f>
        <v/>
      </c>
      <c r="L120" s="216" t="str">
        <f ca="1">IFERROR(VLOOKUP($I120,'Institution Evaluation'!$A$55:$F$346,4,0),IFERROR(VLOOKUP($I120,'Privacy Analyst Evaluation'!$A$46:$F$120,4,0),""))&amp;""</f>
        <v/>
      </c>
      <c r="M120" s="216" t="str">
        <f ca="1">IFERROR(VLOOKUP($I120,'Institution Evaluation'!$A$55:$F$346,6,0),IFERROR(VLOOKUP($I120,'Privacy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ht="17">
      <c r="A121" s="216" t="str">
        <f>IFERROR(IF($A120+1&gt;'(backend scoring)'!$T$335,"",$A120+1),"")</f>
        <v/>
      </c>
      <c r="B121" s="216" t="e">
        <f ca="1">_xlfn.XLOOKUP($A121,'(backend scoring)'!$V$2:$V$333,'(backend scoring)'!$A$2:$A$333,"")</f>
        <v>#NAME?</v>
      </c>
      <c r="C121" s="216" t="str">
        <f ca="1">IFERROR(VLOOKUP($B121,'Institution Evaluation'!$A$55:$F$346,2,0),IFERROR(VLOOKUP($B121,'Privacy Analyst Evaluation'!$A$46:$F$120,2,0),""))&amp;""</f>
        <v/>
      </c>
      <c r="D121" s="216" t="str">
        <f ca="1">IFERROR(VLOOKUP($B121,'Institution Evaluation'!$A$55:$F$346,3,0),IFERROR(VLOOKUP($B121,'Privacy Analyst Evaluation'!$A$46:$F$120,3,0),""))&amp;""</f>
        <v/>
      </c>
      <c r="E121" s="216" t="str">
        <f ca="1">IFERROR(VLOOKUP($B121,'Institution Evaluation'!$A$55:$F$346,4,0),IFERROR(VLOOKUP($B121,'Privacy Analyst Evaluation'!$A$46:$F$120,4,0),""))&amp;""</f>
        <v/>
      </c>
      <c r="F121" s="216" t="str">
        <f ca="1">IFERROR(VLOOKUP($B121,'Institution Evaluation'!$A$55:$F$346,6,0),IFERROR(VLOOKUP($B121,'Privacy Analyst Evaluation'!$A$46:$F$120,6,0),""))&amp;""</f>
        <v/>
      </c>
      <c r="G121" s="217"/>
      <c r="H121" s="216" t="str">
        <f>IFERROR(IF($H120+1&gt;'(backend scoring)'!$Q$335,"",$H120+1),"")</f>
        <v/>
      </c>
      <c r="I121" s="216" t="e">
        <f ca="1">_xlfn.XLOOKUP($H121,'(backend scoring)'!$S$2:$S$333,'(backend scoring)'!$A$2:$A$333,"")</f>
        <v>#NAME?</v>
      </c>
      <c r="J121" s="216" t="str">
        <f ca="1">IFERROR(VLOOKUP($I121,'Institution Evaluation'!$A$55:$F$346,2,0),IFERROR(VLOOKUP($I121,'Privacy Analyst Evaluation'!$A$46:$F$120,2,0),""))</f>
        <v/>
      </c>
      <c r="K121" s="216" t="str">
        <f ca="1">IFERROR(VLOOKUP($I121,'Institution Evaluation'!$A$55:$F$346,3,0),IFERROR(VLOOKUP($I121,'Privacy Analyst Evaluation'!$A$46:$F$120,3,0),""))&amp;""</f>
        <v/>
      </c>
      <c r="L121" s="216" t="str">
        <f ca="1">IFERROR(VLOOKUP($I121,'Institution Evaluation'!$A$55:$F$346,4,0),IFERROR(VLOOKUP($I121,'Privacy Analyst Evaluation'!$A$46:$F$120,4,0),""))&amp;""</f>
        <v/>
      </c>
      <c r="M121" s="216" t="str">
        <f ca="1">IFERROR(VLOOKUP($I121,'Institution Evaluation'!$A$55:$F$346,6,0),IFERROR(VLOOKUP($I121,'Privacy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ht="17">
      <c r="A122" s="216" t="str">
        <f>IFERROR(IF($A121+1&gt;'(backend scoring)'!$T$335,"",$A121+1),"")</f>
        <v/>
      </c>
      <c r="B122" s="216" t="e">
        <f ca="1">_xlfn.XLOOKUP($A122,'(backend scoring)'!$V$2:$V$333,'(backend scoring)'!$A$2:$A$333,"")</f>
        <v>#NAME?</v>
      </c>
      <c r="C122" s="216" t="str">
        <f ca="1">IFERROR(VLOOKUP($B122,'Institution Evaluation'!$A$55:$F$346,2,0),IFERROR(VLOOKUP($B122,'Privacy Analyst Evaluation'!$A$46:$F$120,2,0),""))&amp;""</f>
        <v/>
      </c>
      <c r="D122" s="216" t="str">
        <f ca="1">IFERROR(VLOOKUP($B122,'Institution Evaluation'!$A$55:$F$346,3,0),IFERROR(VLOOKUP($B122,'Privacy Analyst Evaluation'!$A$46:$F$120,3,0),""))&amp;""</f>
        <v/>
      </c>
      <c r="E122" s="216" t="str">
        <f ca="1">IFERROR(VLOOKUP($B122,'Institution Evaluation'!$A$55:$F$346,4,0),IFERROR(VLOOKUP($B122,'Privacy Analyst Evaluation'!$A$46:$F$120,4,0),""))&amp;""</f>
        <v/>
      </c>
      <c r="F122" s="216" t="str">
        <f ca="1">IFERROR(VLOOKUP($B122,'Institution Evaluation'!$A$55:$F$346,6,0),IFERROR(VLOOKUP($B122,'Privacy Analyst Evaluation'!$A$46:$F$120,6,0),""))&amp;""</f>
        <v/>
      </c>
      <c r="G122" s="217"/>
      <c r="H122" s="216" t="str">
        <f>IFERROR(IF($H121+1&gt;'(backend scoring)'!$Q$335,"",$H121+1),"")</f>
        <v/>
      </c>
      <c r="I122" s="216" t="e">
        <f ca="1">_xlfn.XLOOKUP($H122,'(backend scoring)'!$S$2:$S$333,'(backend scoring)'!$A$2:$A$333,"")</f>
        <v>#NAME?</v>
      </c>
      <c r="J122" s="216" t="str">
        <f ca="1">IFERROR(VLOOKUP($I122,'Institution Evaluation'!$A$55:$F$346,2,0),IFERROR(VLOOKUP($I122,'Privacy Analyst Evaluation'!$A$46:$F$120,2,0),""))</f>
        <v/>
      </c>
      <c r="K122" s="216" t="str">
        <f ca="1">IFERROR(VLOOKUP($I122,'Institution Evaluation'!$A$55:$F$346,3,0),IFERROR(VLOOKUP($I122,'Privacy Analyst Evaluation'!$A$46:$F$120,3,0),""))&amp;""</f>
        <v/>
      </c>
      <c r="L122" s="216" t="str">
        <f ca="1">IFERROR(VLOOKUP($I122,'Institution Evaluation'!$A$55:$F$346,4,0),IFERROR(VLOOKUP($I122,'Privacy Analyst Evaluation'!$A$46:$F$120,4,0),""))&amp;""</f>
        <v/>
      </c>
      <c r="M122" s="216" t="str">
        <f ca="1">IFERROR(VLOOKUP($I122,'Institution Evaluation'!$A$55:$F$346,6,0),IFERROR(VLOOKUP($I122,'Privacy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ht="17">
      <c r="A123" s="216" t="str">
        <f>IFERROR(IF($A122+1&gt;'(backend scoring)'!$T$335,"",$A122+1),"")</f>
        <v/>
      </c>
      <c r="B123" s="216" t="e">
        <f ca="1">_xlfn.XLOOKUP($A123,'(backend scoring)'!$V$2:$V$333,'(backend scoring)'!$A$2:$A$333,"")</f>
        <v>#NAME?</v>
      </c>
      <c r="C123" s="216" t="str">
        <f ca="1">IFERROR(VLOOKUP($B123,'Institution Evaluation'!$A$55:$F$346,2,0),IFERROR(VLOOKUP($B123,'Privacy Analyst Evaluation'!$A$46:$F$120,2,0),""))&amp;""</f>
        <v/>
      </c>
      <c r="D123" s="216" t="str">
        <f ca="1">IFERROR(VLOOKUP($B123,'Institution Evaluation'!$A$55:$F$346,3,0),IFERROR(VLOOKUP($B123,'Privacy Analyst Evaluation'!$A$46:$F$120,3,0),""))&amp;""</f>
        <v/>
      </c>
      <c r="E123" s="216" t="str">
        <f ca="1">IFERROR(VLOOKUP($B123,'Institution Evaluation'!$A$55:$F$346,4,0),IFERROR(VLOOKUP($B123,'Privacy Analyst Evaluation'!$A$46:$F$120,4,0),""))&amp;""</f>
        <v/>
      </c>
      <c r="F123" s="216" t="str">
        <f ca="1">IFERROR(VLOOKUP($B123,'Institution Evaluation'!$A$55:$F$346,6,0),IFERROR(VLOOKUP($B123,'Privacy Analyst Evaluation'!$A$46:$F$120,6,0),""))&amp;""</f>
        <v/>
      </c>
      <c r="G123" s="217"/>
      <c r="H123" s="216" t="str">
        <f>IFERROR(IF($H122+1&gt;'(backend scoring)'!$Q$335,"",$H122+1),"")</f>
        <v/>
      </c>
      <c r="I123" s="216" t="e">
        <f ca="1">_xlfn.XLOOKUP($H123,'(backend scoring)'!$S$2:$S$333,'(backend scoring)'!$A$2:$A$333,"")</f>
        <v>#NAME?</v>
      </c>
      <c r="J123" s="216" t="str">
        <f ca="1">IFERROR(VLOOKUP($I123,'Institution Evaluation'!$A$55:$F$346,2,0),IFERROR(VLOOKUP($I123,'Privacy Analyst Evaluation'!$A$46:$F$120,2,0),""))</f>
        <v/>
      </c>
      <c r="K123" s="216" t="str">
        <f ca="1">IFERROR(VLOOKUP($I123,'Institution Evaluation'!$A$55:$F$346,3,0),IFERROR(VLOOKUP($I123,'Privacy Analyst Evaluation'!$A$46:$F$120,3,0),""))&amp;""</f>
        <v/>
      </c>
      <c r="L123" s="216" t="str">
        <f ca="1">IFERROR(VLOOKUP($I123,'Institution Evaluation'!$A$55:$F$346,4,0),IFERROR(VLOOKUP($I123,'Privacy Analyst Evaluation'!$A$46:$F$120,4,0),""))&amp;""</f>
        <v/>
      </c>
      <c r="M123" s="216" t="str">
        <f ca="1">IFERROR(VLOOKUP($I123,'Institution Evaluation'!$A$55:$F$346,6,0),IFERROR(VLOOKUP($I123,'Privacy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ht="17">
      <c r="A124" s="216" t="str">
        <f>IFERROR(IF($A123+1&gt;'(backend scoring)'!$T$335,"",$A123+1),"")</f>
        <v/>
      </c>
      <c r="B124" s="216" t="e">
        <f ca="1">_xlfn.XLOOKUP($A124,'(backend scoring)'!$V$2:$V$333,'(backend scoring)'!$A$2:$A$333,"")</f>
        <v>#NAME?</v>
      </c>
      <c r="C124" s="216" t="str">
        <f ca="1">IFERROR(VLOOKUP($B124,'Institution Evaluation'!$A$55:$F$346,2,0),IFERROR(VLOOKUP($B124,'Privacy Analyst Evaluation'!$A$46:$F$120,2,0),""))&amp;""</f>
        <v/>
      </c>
      <c r="D124" s="216" t="str">
        <f ca="1">IFERROR(VLOOKUP($B124,'Institution Evaluation'!$A$55:$F$346,3,0),IFERROR(VLOOKUP($B124,'Privacy Analyst Evaluation'!$A$46:$F$120,3,0),""))&amp;""</f>
        <v/>
      </c>
      <c r="E124" s="216" t="str">
        <f ca="1">IFERROR(VLOOKUP($B124,'Institution Evaluation'!$A$55:$F$346,4,0),IFERROR(VLOOKUP($B124,'Privacy Analyst Evaluation'!$A$46:$F$120,4,0),""))&amp;""</f>
        <v/>
      </c>
      <c r="F124" s="216" t="str">
        <f ca="1">IFERROR(VLOOKUP($B124,'Institution Evaluation'!$A$55:$F$346,6,0),IFERROR(VLOOKUP($B124,'Privacy Analyst Evaluation'!$A$46:$F$120,6,0),""))&amp;""</f>
        <v/>
      </c>
      <c r="G124" s="217"/>
      <c r="H124" s="216" t="str">
        <f>IFERROR(IF($H123+1&gt;'(backend scoring)'!$Q$335,"",$H123+1),"")</f>
        <v/>
      </c>
      <c r="I124" s="216" t="e">
        <f ca="1">_xlfn.XLOOKUP($H124,'(backend scoring)'!$S$2:$S$333,'(backend scoring)'!$A$2:$A$333,"")</f>
        <v>#NAME?</v>
      </c>
      <c r="J124" s="216" t="str">
        <f ca="1">IFERROR(VLOOKUP($I124,'Institution Evaluation'!$A$55:$F$346,2,0),IFERROR(VLOOKUP($I124,'Privacy Analyst Evaluation'!$A$46:$F$120,2,0),""))</f>
        <v/>
      </c>
      <c r="K124" s="216" t="str">
        <f ca="1">IFERROR(VLOOKUP($I124,'Institution Evaluation'!$A$55:$F$346,3,0),IFERROR(VLOOKUP($I124,'Privacy Analyst Evaluation'!$A$46:$F$120,3,0),""))&amp;""</f>
        <v/>
      </c>
      <c r="L124" s="216" t="str">
        <f ca="1">IFERROR(VLOOKUP($I124,'Institution Evaluation'!$A$55:$F$346,4,0),IFERROR(VLOOKUP($I124,'Privacy Analyst Evaluation'!$A$46:$F$120,4,0),""))&amp;""</f>
        <v/>
      </c>
      <c r="M124" s="216" t="str">
        <f ca="1">IFERROR(VLOOKUP($I124,'Institution Evaluation'!$A$55:$F$346,6,0),IFERROR(VLOOKUP($I124,'Privacy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ht="17">
      <c r="A125" s="216" t="str">
        <f>IFERROR(IF($A124+1&gt;'(backend scoring)'!$T$335,"",$A124+1),"")</f>
        <v/>
      </c>
      <c r="B125" s="216" t="e">
        <f ca="1">_xlfn.XLOOKUP($A125,'(backend scoring)'!$V$2:$V$333,'(backend scoring)'!$A$2:$A$333,"")</f>
        <v>#NAME?</v>
      </c>
      <c r="C125" s="216" t="str">
        <f ca="1">IFERROR(VLOOKUP($B125,'Institution Evaluation'!$A$55:$F$346,2,0),IFERROR(VLOOKUP($B125,'Privacy Analyst Evaluation'!$A$46:$F$120,2,0),""))&amp;""</f>
        <v/>
      </c>
      <c r="D125" s="216" t="str">
        <f ca="1">IFERROR(VLOOKUP($B125,'Institution Evaluation'!$A$55:$F$346,3,0),IFERROR(VLOOKUP($B125,'Privacy Analyst Evaluation'!$A$46:$F$120,3,0),""))&amp;""</f>
        <v/>
      </c>
      <c r="E125" s="216" t="str">
        <f ca="1">IFERROR(VLOOKUP($B125,'Institution Evaluation'!$A$55:$F$346,4,0),IFERROR(VLOOKUP($B125,'Privacy Analyst Evaluation'!$A$46:$F$120,4,0),""))&amp;""</f>
        <v/>
      </c>
      <c r="F125" s="216" t="str">
        <f ca="1">IFERROR(VLOOKUP($B125,'Institution Evaluation'!$A$55:$F$346,6,0),IFERROR(VLOOKUP($B125,'Privacy Analyst Evaluation'!$A$46:$F$120,6,0),""))&amp;""</f>
        <v/>
      </c>
      <c r="G125" s="217"/>
      <c r="H125" s="216" t="str">
        <f>IFERROR(IF($H124+1&gt;'(backend scoring)'!$Q$335,"",$H124+1),"")</f>
        <v/>
      </c>
      <c r="I125" s="216" t="e">
        <f ca="1">_xlfn.XLOOKUP($H125,'(backend scoring)'!$S$2:$S$333,'(backend scoring)'!$A$2:$A$333,"")</f>
        <v>#NAME?</v>
      </c>
      <c r="J125" s="216" t="str">
        <f ca="1">IFERROR(VLOOKUP($I125,'Institution Evaluation'!$A$55:$F$346,2,0),IFERROR(VLOOKUP($I125,'Privacy Analyst Evaluation'!$A$46:$F$120,2,0),""))</f>
        <v/>
      </c>
      <c r="K125" s="216" t="str">
        <f ca="1">IFERROR(VLOOKUP($I125,'Institution Evaluation'!$A$55:$F$346,3,0),IFERROR(VLOOKUP($I125,'Privacy Analyst Evaluation'!$A$46:$F$120,3,0),""))&amp;""</f>
        <v/>
      </c>
      <c r="L125" s="216" t="str">
        <f ca="1">IFERROR(VLOOKUP($I125,'Institution Evaluation'!$A$55:$F$346,4,0),IFERROR(VLOOKUP($I125,'Privacy Analyst Evaluation'!$A$46:$F$120,4,0),""))&amp;""</f>
        <v/>
      </c>
      <c r="M125" s="216" t="str">
        <f ca="1">IFERROR(VLOOKUP($I125,'Institution Evaluation'!$A$55:$F$346,6,0),IFERROR(VLOOKUP($I125,'Privacy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ht="17">
      <c r="A126" s="216" t="str">
        <f>IFERROR(IF($A125+1&gt;'(backend scoring)'!$T$335,"",$A125+1),"")</f>
        <v/>
      </c>
      <c r="B126" s="216" t="e">
        <f ca="1">_xlfn.XLOOKUP($A126,'(backend scoring)'!$V$2:$V$333,'(backend scoring)'!$A$2:$A$333,"")</f>
        <v>#NAME?</v>
      </c>
      <c r="C126" s="216" t="str">
        <f ca="1">IFERROR(VLOOKUP($B126,'Institution Evaluation'!$A$55:$F$346,2,0),IFERROR(VLOOKUP($B126,'Privacy Analyst Evaluation'!$A$46:$F$120,2,0),""))&amp;""</f>
        <v/>
      </c>
      <c r="D126" s="216" t="str">
        <f ca="1">IFERROR(VLOOKUP($B126,'Institution Evaluation'!$A$55:$F$346,3,0),IFERROR(VLOOKUP($B126,'Privacy Analyst Evaluation'!$A$46:$F$120,3,0),""))&amp;""</f>
        <v/>
      </c>
      <c r="E126" s="216" t="str">
        <f ca="1">IFERROR(VLOOKUP($B126,'Institution Evaluation'!$A$55:$F$346,4,0),IFERROR(VLOOKUP($B126,'Privacy Analyst Evaluation'!$A$46:$F$120,4,0),""))&amp;""</f>
        <v/>
      </c>
      <c r="F126" s="216" t="str">
        <f ca="1">IFERROR(VLOOKUP($B126,'Institution Evaluation'!$A$55:$F$346,6,0),IFERROR(VLOOKUP($B126,'Privacy Analyst Evaluation'!$A$46:$F$120,6,0),""))&amp;""</f>
        <v/>
      </c>
      <c r="G126" s="217"/>
      <c r="H126" s="216" t="str">
        <f>IFERROR(IF($H125+1&gt;'(backend scoring)'!$Q$335,"",$H125+1),"")</f>
        <v/>
      </c>
      <c r="I126" s="216" t="e">
        <f ca="1">_xlfn.XLOOKUP($H126,'(backend scoring)'!$S$2:$S$333,'(backend scoring)'!$A$2:$A$333,"")</f>
        <v>#NAME?</v>
      </c>
      <c r="J126" s="216" t="str">
        <f ca="1">IFERROR(VLOOKUP($I126,'Institution Evaluation'!$A$55:$F$346,2,0),IFERROR(VLOOKUP($I126,'Privacy Analyst Evaluation'!$A$46:$F$120,2,0),""))</f>
        <v/>
      </c>
      <c r="K126" s="216" t="str">
        <f ca="1">IFERROR(VLOOKUP($I126,'Institution Evaluation'!$A$55:$F$346,3,0),IFERROR(VLOOKUP($I126,'Privacy Analyst Evaluation'!$A$46:$F$120,3,0),""))&amp;""</f>
        <v/>
      </c>
      <c r="L126" s="216" t="str">
        <f ca="1">IFERROR(VLOOKUP($I126,'Institution Evaluation'!$A$55:$F$346,4,0),IFERROR(VLOOKUP($I126,'Privacy Analyst Evaluation'!$A$46:$F$120,4,0),""))&amp;""</f>
        <v/>
      </c>
      <c r="M126" s="216" t="str">
        <f ca="1">IFERROR(VLOOKUP($I126,'Institution Evaluation'!$A$55:$F$346,6,0),IFERROR(VLOOKUP($I126,'Privacy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ht="17">
      <c r="A127" s="216" t="str">
        <f>IFERROR(IF($A126+1&gt;'(backend scoring)'!$T$335,"",$A126+1),"")</f>
        <v/>
      </c>
      <c r="B127" s="216" t="e">
        <f ca="1">_xlfn.XLOOKUP($A127,'(backend scoring)'!$V$2:$V$333,'(backend scoring)'!$A$2:$A$333,"")</f>
        <v>#NAME?</v>
      </c>
      <c r="C127" s="216" t="str">
        <f ca="1">IFERROR(VLOOKUP($B127,'Institution Evaluation'!$A$55:$F$346,2,0),IFERROR(VLOOKUP($B127,'Privacy Analyst Evaluation'!$A$46:$F$120,2,0),""))&amp;""</f>
        <v/>
      </c>
      <c r="D127" s="216" t="str">
        <f ca="1">IFERROR(VLOOKUP($B127,'Institution Evaluation'!$A$55:$F$346,3,0),IFERROR(VLOOKUP($B127,'Privacy Analyst Evaluation'!$A$46:$F$120,3,0),""))&amp;""</f>
        <v/>
      </c>
      <c r="E127" s="216" t="str">
        <f ca="1">IFERROR(VLOOKUP($B127,'Institution Evaluation'!$A$55:$F$346,4,0),IFERROR(VLOOKUP($B127,'Privacy Analyst Evaluation'!$A$46:$F$120,4,0),""))&amp;""</f>
        <v/>
      </c>
      <c r="F127" s="216" t="str">
        <f ca="1">IFERROR(VLOOKUP($B127,'Institution Evaluation'!$A$55:$F$346,6,0),IFERROR(VLOOKUP($B127,'Privacy Analyst Evaluation'!$A$46:$F$120,6,0),""))&amp;""</f>
        <v/>
      </c>
      <c r="G127" s="217"/>
      <c r="H127" s="216" t="str">
        <f>IFERROR(IF($H126+1&gt;'(backend scoring)'!$Q$335,"",$H126+1),"")</f>
        <v/>
      </c>
      <c r="I127" s="216" t="e">
        <f ca="1">_xlfn.XLOOKUP($H127,'(backend scoring)'!$S$2:$S$333,'(backend scoring)'!$A$2:$A$333,"")</f>
        <v>#NAME?</v>
      </c>
      <c r="J127" s="216" t="str">
        <f ca="1">IFERROR(VLOOKUP($I127,'Institution Evaluation'!$A$55:$F$346,2,0),IFERROR(VLOOKUP($I127,'Privacy Analyst Evaluation'!$A$46:$F$120,2,0),""))</f>
        <v/>
      </c>
      <c r="K127" s="216" t="str">
        <f ca="1">IFERROR(VLOOKUP($I127,'Institution Evaluation'!$A$55:$F$346,3,0),IFERROR(VLOOKUP($I127,'Privacy Analyst Evaluation'!$A$46:$F$120,3,0),""))&amp;""</f>
        <v/>
      </c>
      <c r="L127" s="216" t="str">
        <f ca="1">IFERROR(VLOOKUP($I127,'Institution Evaluation'!$A$55:$F$346,4,0),IFERROR(VLOOKUP($I127,'Privacy Analyst Evaluation'!$A$46:$F$120,4,0),""))&amp;""</f>
        <v/>
      </c>
      <c r="M127" s="216" t="str">
        <f ca="1">IFERROR(VLOOKUP($I127,'Institution Evaluation'!$A$55:$F$346,6,0),IFERROR(VLOOKUP($I127,'Privacy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ht="17">
      <c r="A128" s="216" t="str">
        <f>IFERROR(IF($A127+1&gt;'(backend scoring)'!$T$335,"",$A127+1),"")</f>
        <v/>
      </c>
      <c r="B128" s="216" t="e">
        <f ca="1">_xlfn.XLOOKUP($A128,'(backend scoring)'!$V$2:$V$333,'(backend scoring)'!$A$2:$A$333,"")</f>
        <v>#NAME?</v>
      </c>
      <c r="C128" s="216" t="str">
        <f ca="1">IFERROR(VLOOKUP($B128,'Institution Evaluation'!$A$55:$F$346,2,0),IFERROR(VLOOKUP($B128,'Privacy Analyst Evaluation'!$A$46:$F$120,2,0),""))&amp;""</f>
        <v/>
      </c>
      <c r="D128" s="216" t="str">
        <f ca="1">IFERROR(VLOOKUP($B128,'Institution Evaluation'!$A$55:$F$346,3,0),IFERROR(VLOOKUP($B128,'Privacy Analyst Evaluation'!$A$46:$F$120,3,0),""))&amp;""</f>
        <v/>
      </c>
      <c r="E128" s="216" t="str">
        <f ca="1">IFERROR(VLOOKUP($B128,'Institution Evaluation'!$A$55:$F$346,4,0),IFERROR(VLOOKUP($B128,'Privacy Analyst Evaluation'!$A$46:$F$120,4,0),""))&amp;""</f>
        <v/>
      </c>
      <c r="F128" s="216" t="str">
        <f ca="1">IFERROR(VLOOKUP($B128,'Institution Evaluation'!$A$55:$F$346,6,0),IFERROR(VLOOKUP($B128,'Privacy Analyst Evaluation'!$A$46:$F$120,6,0),""))&amp;""</f>
        <v/>
      </c>
      <c r="G128" s="217"/>
      <c r="H128" s="216" t="str">
        <f>IFERROR(IF($H127+1&gt;'(backend scoring)'!$Q$335,"",$H127+1),"")</f>
        <v/>
      </c>
      <c r="I128" s="216" t="e">
        <f ca="1">_xlfn.XLOOKUP($H128,'(backend scoring)'!$S$2:$S$333,'(backend scoring)'!$A$2:$A$333,"")</f>
        <v>#NAME?</v>
      </c>
      <c r="J128" s="216" t="str">
        <f ca="1">IFERROR(VLOOKUP($I128,'Institution Evaluation'!$A$55:$F$346,2,0),IFERROR(VLOOKUP($I128,'Privacy Analyst Evaluation'!$A$46:$F$120,2,0),""))</f>
        <v/>
      </c>
      <c r="K128" s="216" t="str">
        <f ca="1">IFERROR(VLOOKUP($I128,'Institution Evaluation'!$A$55:$F$346,3,0),IFERROR(VLOOKUP($I128,'Privacy Analyst Evaluation'!$A$46:$F$120,3,0),""))&amp;""</f>
        <v/>
      </c>
      <c r="L128" s="216" t="str">
        <f ca="1">IFERROR(VLOOKUP($I128,'Institution Evaluation'!$A$55:$F$346,4,0),IFERROR(VLOOKUP($I128,'Privacy Analyst Evaluation'!$A$46:$F$120,4,0),""))&amp;""</f>
        <v/>
      </c>
      <c r="M128" s="216" t="str">
        <f ca="1">IFERROR(VLOOKUP($I128,'Institution Evaluation'!$A$55:$F$346,6,0),IFERROR(VLOOKUP($I128,'Privacy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ht="17">
      <c r="A129" s="216" t="str">
        <f>IFERROR(IF($A128+1&gt;'(backend scoring)'!$T$335,"",$A128+1),"")</f>
        <v/>
      </c>
      <c r="B129" s="216" t="e">
        <f ca="1">_xlfn.XLOOKUP($A129,'(backend scoring)'!$V$2:$V$333,'(backend scoring)'!$A$2:$A$333,"")</f>
        <v>#NAME?</v>
      </c>
      <c r="C129" s="216" t="str">
        <f ca="1">IFERROR(VLOOKUP($B129,'Institution Evaluation'!$A$55:$F$346,2,0),IFERROR(VLOOKUP($B129,'Privacy Analyst Evaluation'!$A$46:$F$120,2,0),""))&amp;""</f>
        <v/>
      </c>
      <c r="D129" s="216" t="str">
        <f ca="1">IFERROR(VLOOKUP($B129,'Institution Evaluation'!$A$55:$F$346,3,0),IFERROR(VLOOKUP($B129,'Privacy Analyst Evaluation'!$A$46:$F$120,3,0),""))&amp;""</f>
        <v/>
      </c>
      <c r="E129" s="216" t="str">
        <f ca="1">IFERROR(VLOOKUP($B129,'Institution Evaluation'!$A$55:$F$346,4,0),IFERROR(VLOOKUP($B129,'Privacy Analyst Evaluation'!$A$46:$F$120,4,0),""))&amp;""</f>
        <v/>
      </c>
      <c r="F129" s="216" t="str">
        <f ca="1">IFERROR(VLOOKUP($B129,'Institution Evaluation'!$A$55:$F$346,6,0),IFERROR(VLOOKUP($B129,'Privacy Analyst Evaluation'!$A$46:$F$120,6,0),""))&amp;""</f>
        <v/>
      </c>
      <c r="G129" s="217"/>
      <c r="H129" s="216" t="str">
        <f>IFERROR(IF($H128+1&gt;'(backend scoring)'!$Q$335,"",$H128+1),"")</f>
        <v/>
      </c>
      <c r="I129" s="216" t="e">
        <f ca="1">_xlfn.XLOOKUP($H129,'(backend scoring)'!$S$2:$S$333,'(backend scoring)'!$A$2:$A$333,"")</f>
        <v>#NAME?</v>
      </c>
      <c r="J129" s="216" t="str">
        <f ca="1">IFERROR(VLOOKUP($I129,'Institution Evaluation'!$A$55:$F$346,2,0),IFERROR(VLOOKUP($I129,'Privacy Analyst Evaluation'!$A$46:$F$120,2,0),""))</f>
        <v/>
      </c>
      <c r="K129" s="216" t="str">
        <f ca="1">IFERROR(VLOOKUP($I129,'Institution Evaluation'!$A$55:$F$346,3,0),IFERROR(VLOOKUP($I129,'Privacy Analyst Evaluation'!$A$46:$F$120,3,0),""))&amp;""</f>
        <v/>
      </c>
      <c r="L129" s="216" t="str">
        <f ca="1">IFERROR(VLOOKUP($I129,'Institution Evaluation'!$A$55:$F$346,4,0),IFERROR(VLOOKUP($I129,'Privacy Analyst Evaluation'!$A$46:$F$120,4,0),""))&amp;""</f>
        <v/>
      </c>
      <c r="M129" s="216" t="str">
        <f ca="1">IFERROR(VLOOKUP($I129,'Institution Evaluation'!$A$55:$F$346,6,0),IFERROR(VLOOKUP($I129,'Privacy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ht="17">
      <c r="A130" s="216" t="str">
        <f>IFERROR(IF($A129+1&gt;'(backend scoring)'!$T$335,"",$A129+1),"")</f>
        <v/>
      </c>
      <c r="B130" s="216" t="e">
        <f ca="1">_xlfn.XLOOKUP($A130,'(backend scoring)'!$V$2:$V$333,'(backend scoring)'!$A$2:$A$333,"")</f>
        <v>#NAME?</v>
      </c>
      <c r="C130" s="216" t="str">
        <f ca="1">IFERROR(VLOOKUP($B130,'Institution Evaluation'!$A$55:$F$346,2,0),IFERROR(VLOOKUP($B130,'Privacy Analyst Evaluation'!$A$46:$F$120,2,0),""))&amp;""</f>
        <v/>
      </c>
      <c r="D130" s="216" t="str">
        <f ca="1">IFERROR(VLOOKUP($B130,'Institution Evaluation'!$A$55:$F$346,3,0),IFERROR(VLOOKUP($B130,'Privacy Analyst Evaluation'!$A$46:$F$120,3,0),""))&amp;""</f>
        <v/>
      </c>
      <c r="E130" s="216" t="str">
        <f ca="1">IFERROR(VLOOKUP($B130,'Institution Evaluation'!$A$55:$F$346,4,0),IFERROR(VLOOKUP($B130,'Privacy Analyst Evaluation'!$A$46:$F$120,4,0),""))&amp;""</f>
        <v/>
      </c>
      <c r="F130" s="216" t="str">
        <f ca="1">IFERROR(VLOOKUP($B130,'Institution Evaluation'!$A$55:$F$346,6,0),IFERROR(VLOOKUP($B130,'Privacy Analyst Evaluation'!$A$46:$F$120,6,0),""))&amp;""</f>
        <v/>
      </c>
      <c r="G130" s="217"/>
      <c r="H130" s="216" t="str">
        <f>IFERROR(IF($H129+1&gt;'(backend scoring)'!$Q$335,"",$H129+1),"")</f>
        <v/>
      </c>
      <c r="I130" s="216" t="e">
        <f ca="1">_xlfn.XLOOKUP($H130,'(backend scoring)'!$S$2:$S$333,'(backend scoring)'!$A$2:$A$333,"")</f>
        <v>#NAME?</v>
      </c>
      <c r="J130" s="216" t="str">
        <f ca="1">IFERROR(VLOOKUP($I130,'Institution Evaluation'!$A$55:$F$346,2,0),IFERROR(VLOOKUP($I130,'Privacy Analyst Evaluation'!$A$46:$F$120,2,0),""))</f>
        <v/>
      </c>
      <c r="K130" s="216" t="str">
        <f ca="1">IFERROR(VLOOKUP($I130,'Institution Evaluation'!$A$55:$F$346,3,0),IFERROR(VLOOKUP($I130,'Privacy Analyst Evaluation'!$A$46:$F$120,3,0),""))&amp;""</f>
        <v/>
      </c>
      <c r="L130" s="216" t="str">
        <f ca="1">IFERROR(VLOOKUP($I130,'Institution Evaluation'!$A$55:$F$346,4,0),IFERROR(VLOOKUP($I130,'Privacy Analyst Evaluation'!$A$46:$F$120,4,0),""))&amp;""</f>
        <v/>
      </c>
      <c r="M130" s="216" t="str">
        <f ca="1">IFERROR(VLOOKUP($I130,'Institution Evaluation'!$A$55:$F$346,6,0),IFERROR(VLOOKUP($I130,'Privacy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ht="17">
      <c r="A131" s="216" t="str">
        <f>IFERROR(IF($A130+1&gt;'(backend scoring)'!$T$335,"",$A130+1),"")</f>
        <v/>
      </c>
      <c r="B131" s="216" t="e">
        <f ca="1">_xlfn.XLOOKUP($A131,'(backend scoring)'!$V$2:$V$333,'(backend scoring)'!$A$2:$A$333,"")</f>
        <v>#NAME?</v>
      </c>
      <c r="C131" s="216" t="str">
        <f ca="1">IFERROR(VLOOKUP($B131,'Institution Evaluation'!$A$55:$F$346,2,0),IFERROR(VLOOKUP($B131,'Privacy Analyst Evaluation'!$A$46:$F$120,2,0),""))&amp;""</f>
        <v/>
      </c>
      <c r="D131" s="216" t="str">
        <f ca="1">IFERROR(VLOOKUP($B131,'Institution Evaluation'!$A$55:$F$346,3,0),IFERROR(VLOOKUP($B131,'Privacy Analyst Evaluation'!$A$46:$F$120,3,0),""))&amp;""</f>
        <v/>
      </c>
      <c r="E131" s="216" t="str">
        <f ca="1">IFERROR(VLOOKUP($B131,'Institution Evaluation'!$A$55:$F$346,4,0),IFERROR(VLOOKUP($B131,'Privacy Analyst Evaluation'!$A$46:$F$120,4,0),""))&amp;""</f>
        <v/>
      </c>
      <c r="F131" s="216" t="str">
        <f ca="1">IFERROR(VLOOKUP($B131,'Institution Evaluation'!$A$55:$F$346,6,0),IFERROR(VLOOKUP($B131,'Privacy Analyst Evaluation'!$A$46:$F$120,6,0),""))&amp;""</f>
        <v/>
      </c>
      <c r="G131" s="217"/>
      <c r="H131" s="216" t="str">
        <f>IFERROR(IF($H130+1&gt;'(backend scoring)'!$Q$335,"",$H130+1),"")</f>
        <v/>
      </c>
      <c r="I131" s="216" t="e">
        <f ca="1">_xlfn.XLOOKUP($H131,'(backend scoring)'!$S$2:$S$333,'(backend scoring)'!$A$2:$A$333,"")</f>
        <v>#NAME?</v>
      </c>
      <c r="J131" s="216" t="str">
        <f ca="1">IFERROR(VLOOKUP($I131,'Institution Evaluation'!$A$55:$F$346,2,0),IFERROR(VLOOKUP($I131,'Privacy Analyst Evaluation'!$A$46:$F$120,2,0),""))</f>
        <v/>
      </c>
      <c r="K131" s="216" t="str">
        <f ca="1">IFERROR(VLOOKUP($I131,'Institution Evaluation'!$A$55:$F$346,3,0),IFERROR(VLOOKUP($I131,'Privacy Analyst Evaluation'!$A$46:$F$120,3,0),""))&amp;""</f>
        <v/>
      </c>
      <c r="L131" s="216" t="str">
        <f ca="1">IFERROR(VLOOKUP($I131,'Institution Evaluation'!$A$55:$F$346,4,0),IFERROR(VLOOKUP($I131,'Privacy Analyst Evaluation'!$A$46:$F$120,4,0),""))&amp;""</f>
        <v/>
      </c>
      <c r="M131" s="216" t="str">
        <f ca="1">IFERROR(VLOOKUP($I131,'Institution Evaluation'!$A$55:$F$346,6,0),IFERROR(VLOOKUP($I131,'Privacy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ht="17">
      <c r="A132" s="216" t="str">
        <f>IFERROR(IF($A131+1&gt;'(backend scoring)'!$T$335,"",$A131+1),"")</f>
        <v/>
      </c>
      <c r="B132" s="216" t="e">
        <f ca="1">_xlfn.XLOOKUP($A132,'(backend scoring)'!$V$2:$V$333,'(backend scoring)'!$A$2:$A$333,"")</f>
        <v>#NAME?</v>
      </c>
      <c r="C132" s="216" t="str">
        <f ca="1">IFERROR(VLOOKUP($B132,'Institution Evaluation'!$A$55:$F$346,2,0),IFERROR(VLOOKUP($B132,'Privacy Analyst Evaluation'!$A$46:$F$120,2,0),""))&amp;""</f>
        <v/>
      </c>
      <c r="D132" s="216" t="str">
        <f ca="1">IFERROR(VLOOKUP($B132,'Institution Evaluation'!$A$55:$F$346,3,0),IFERROR(VLOOKUP($B132,'Privacy Analyst Evaluation'!$A$46:$F$120,3,0),""))&amp;""</f>
        <v/>
      </c>
      <c r="E132" s="216" t="str">
        <f ca="1">IFERROR(VLOOKUP($B132,'Institution Evaluation'!$A$55:$F$346,4,0),IFERROR(VLOOKUP($B132,'Privacy Analyst Evaluation'!$A$46:$F$120,4,0),""))&amp;""</f>
        <v/>
      </c>
      <c r="F132" s="216" t="str">
        <f ca="1">IFERROR(VLOOKUP($B132,'Institution Evaluation'!$A$55:$F$346,6,0),IFERROR(VLOOKUP($B132,'Privacy Analyst Evaluation'!$A$46:$F$120,6,0),""))&amp;""</f>
        <v/>
      </c>
      <c r="G132" s="217"/>
      <c r="H132" s="216" t="str">
        <f>IFERROR(IF($H131+1&gt;'(backend scoring)'!$Q$335,"",$H131+1),"")</f>
        <v/>
      </c>
      <c r="I132" s="216" t="e">
        <f ca="1">_xlfn.XLOOKUP($H132,'(backend scoring)'!$S$2:$S$333,'(backend scoring)'!$A$2:$A$333,"")</f>
        <v>#NAME?</v>
      </c>
      <c r="J132" s="216" t="str">
        <f ca="1">IFERROR(VLOOKUP($I132,'Institution Evaluation'!$A$55:$F$346,2,0),IFERROR(VLOOKUP($I132,'Privacy Analyst Evaluation'!$A$46:$F$120,2,0),""))</f>
        <v/>
      </c>
      <c r="K132" s="216" t="str">
        <f ca="1">IFERROR(VLOOKUP($I132,'Institution Evaluation'!$A$55:$F$346,3,0),IFERROR(VLOOKUP($I132,'Privacy Analyst Evaluation'!$A$46:$F$120,3,0),""))&amp;""</f>
        <v/>
      </c>
      <c r="L132" s="216" t="str">
        <f ca="1">IFERROR(VLOOKUP($I132,'Institution Evaluation'!$A$55:$F$346,4,0),IFERROR(VLOOKUP($I132,'Privacy Analyst Evaluation'!$A$46:$F$120,4,0),""))&amp;""</f>
        <v/>
      </c>
      <c r="M132" s="216" t="str">
        <f ca="1">IFERROR(VLOOKUP($I132,'Institution Evaluation'!$A$55:$F$346,6,0),IFERROR(VLOOKUP($I132,'Privacy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ht="17">
      <c r="A133" s="216" t="str">
        <f>IFERROR(IF($A132+1&gt;'(backend scoring)'!$T$335,"",$A132+1),"")</f>
        <v/>
      </c>
      <c r="B133" s="216" t="e">
        <f ca="1">_xlfn.XLOOKUP($A133,'(backend scoring)'!$V$2:$V$333,'(backend scoring)'!$A$2:$A$333,"")</f>
        <v>#NAME?</v>
      </c>
      <c r="C133" s="216" t="str">
        <f ca="1">IFERROR(VLOOKUP($B133,'Institution Evaluation'!$A$55:$F$346,2,0),IFERROR(VLOOKUP($B133,'Privacy Analyst Evaluation'!$A$46:$F$120,2,0),""))&amp;""</f>
        <v/>
      </c>
      <c r="D133" s="216" t="str">
        <f ca="1">IFERROR(VLOOKUP($B133,'Institution Evaluation'!$A$55:$F$346,3,0),IFERROR(VLOOKUP($B133,'Privacy Analyst Evaluation'!$A$46:$F$120,3,0),""))&amp;""</f>
        <v/>
      </c>
      <c r="E133" s="216" t="str">
        <f ca="1">IFERROR(VLOOKUP($B133,'Institution Evaluation'!$A$55:$F$346,4,0),IFERROR(VLOOKUP($B133,'Privacy Analyst Evaluation'!$A$46:$F$120,4,0),""))&amp;""</f>
        <v/>
      </c>
      <c r="F133" s="216" t="str">
        <f ca="1">IFERROR(VLOOKUP($B133,'Institution Evaluation'!$A$55:$F$346,6,0),IFERROR(VLOOKUP($B133,'Privacy Analyst Evaluation'!$A$46:$F$120,6,0),""))&amp;""</f>
        <v/>
      </c>
      <c r="G133" s="217"/>
      <c r="H133" s="216" t="str">
        <f>IFERROR(IF($H132+1&gt;'(backend scoring)'!$Q$335,"",$H132+1),"")</f>
        <v/>
      </c>
      <c r="I133" s="216" t="e">
        <f ca="1">_xlfn.XLOOKUP($H133,'(backend scoring)'!$S$2:$S$333,'(backend scoring)'!$A$2:$A$333,"")</f>
        <v>#NAME?</v>
      </c>
      <c r="J133" s="216" t="str">
        <f ca="1">IFERROR(VLOOKUP($I133,'Institution Evaluation'!$A$55:$F$346,2,0),IFERROR(VLOOKUP($I133,'Privacy Analyst Evaluation'!$A$46:$F$120,2,0),""))</f>
        <v/>
      </c>
      <c r="K133" s="216" t="str">
        <f ca="1">IFERROR(VLOOKUP($I133,'Institution Evaluation'!$A$55:$F$346,3,0),IFERROR(VLOOKUP($I133,'Privacy Analyst Evaluation'!$A$46:$F$120,3,0),""))&amp;""</f>
        <v/>
      </c>
      <c r="L133" s="216" t="str">
        <f ca="1">IFERROR(VLOOKUP($I133,'Institution Evaluation'!$A$55:$F$346,4,0),IFERROR(VLOOKUP($I133,'Privacy Analyst Evaluation'!$A$46:$F$120,4,0),""))&amp;""</f>
        <v/>
      </c>
      <c r="M133" s="216" t="str">
        <f ca="1">IFERROR(VLOOKUP($I133,'Institution Evaluation'!$A$55:$F$346,6,0),IFERROR(VLOOKUP($I133,'Privacy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ht="17">
      <c r="A134" s="216" t="str">
        <f>IFERROR(IF($A133+1&gt;'(backend scoring)'!$T$335,"",$A133+1),"")</f>
        <v/>
      </c>
      <c r="B134" s="216" t="e">
        <f ca="1">_xlfn.XLOOKUP($A134,'(backend scoring)'!$V$2:$V$333,'(backend scoring)'!$A$2:$A$333,"")</f>
        <v>#NAME?</v>
      </c>
      <c r="C134" s="216" t="str">
        <f ca="1">IFERROR(VLOOKUP($B134,'Institution Evaluation'!$A$55:$F$346,2,0),IFERROR(VLOOKUP($B134,'Privacy Analyst Evaluation'!$A$46:$F$120,2,0),""))&amp;""</f>
        <v/>
      </c>
      <c r="D134" s="216" t="str">
        <f ca="1">IFERROR(VLOOKUP($B134,'Institution Evaluation'!$A$55:$F$346,3,0),IFERROR(VLOOKUP($B134,'Privacy Analyst Evaluation'!$A$46:$F$120,3,0),""))&amp;""</f>
        <v/>
      </c>
      <c r="E134" s="216" t="str">
        <f ca="1">IFERROR(VLOOKUP($B134,'Institution Evaluation'!$A$55:$F$346,4,0),IFERROR(VLOOKUP($B134,'Privacy Analyst Evaluation'!$A$46:$F$120,4,0),""))&amp;""</f>
        <v/>
      </c>
      <c r="F134" s="216" t="str">
        <f ca="1">IFERROR(VLOOKUP($B134,'Institution Evaluation'!$A$55:$F$346,6,0),IFERROR(VLOOKUP($B134,'Privacy Analyst Evaluation'!$A$46:$F$120,6,0),""))&amp;""</f>
        <v/>
      </c>
      <c r="G134" s="217"/>
      <c r="H134" s="216" t="str">
        <f>IFERROR(IF($H133+1&gt;'(backend scoring)'!$Q$335,"",$H133+1),"")</f>
        <v/>
      </c>
      <c r="I134" s="216" t="e">
        <f ca="1">_xlfn.XLOOKUP($H134,'(backend scoring)'!$S$2:$S$333,'(backend scoring)'!$A$2:$A$333,"")</f>
        <v>#NAME?</v>
      </c>
      <c r="J134" s="216" t="str">
        <f ca="1">IFERROR(VLOOKUP($I134,'Institution Evaluation'!$A$55:$F$346,2,0),IFERROR(VLOOKUP($I134,'Privacy Analyst Evaluation'!$A$46:$F$120,2,0),""))</f>
        <v/>
      </c>
      <c r="K134" s="216" t="str">
        <f ca="1">IFERROR(VLOOKUP($I134,'Institution Evaluation'!$A$55:$F$346,3,0),IFERROR(VLOOKUP($I134,'Privacy Analyst Evaluation'!$A$46:$F$120,3,0),""))&amp;""</f>
        <v/>
      </c>
      <c r="L134" s="216" t="str">
        <f ca="1">IFERROR(VLOOKUP($I134,'Institution Evaluation'!$A$55:$F$346,4,0),IFERROR(VLOOKUP($I134,'Privacy Analyst Evaluation'!$A$46:$F$120,4,0),""))&amp;""</f>
        <v/>
      </c>
      <c r="M134" s="216" t="str">
        <f ca="1">IFERROR(VLOOKUP($I134,'Institution Evaluation'!$A$55:$F$346,6,0),IFERROR(VLOOKUP($I134,'Privacy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ht="17">
      <c r="A135" s="216" t="str">
        <f>IFERROR(IF($A134+1&gt;'(backend scoring)'!$T$335,"",$A134+1),"")</f>
        <v/>
      </c>
      <c r="B135" s="216" t="e">
        <f ca="1">_xlfn.XLOOKUP($A135,'(backend scoring)'!$V$2:$V$333,'(backend scoring)'!$A$2:$A$333,"")</f>
        <v>#NAME?</v>
      </c>
      <c r="C135" s="216" t="str">
        <f ca="1">IFERROR(VLOOKUP($B135,'Institution Evaluation'!$A$55:$F$346,2,0),IFERROR(VLOOKUP($B135,'Privacy Analyst Evaluation'!$A$46:$F$120,2,0),""))&amp;""</f>
        <v/>
      </c>
      <c r="D135" s="216" t="str">
        <f ca="1">IFERROR(VLOOKUP($B135,'Institution Evaluation'!$A$55:$F$346,3,0),IFERROR(VLOOKUP($B135,'Privacy Analyst Evaluation'!$A$46:$F$120,3,0),""))&amp;""</f>
        <v/>
      </c>
      <c r="E135" s="216" t="str">
        <f ca="1">IFERROR(VLOOKUP($B135,'Institution Evaluation'!$A$55:$F$346,4,0),IFERROR(VLOOKUP($B135,'Privacy Analyst Evaluation'!$A$46:$F$120,4,0),""))&amp;""</f>
        <v/>
      </c>
      <c r="F135" s="216" t="str">
        <f ca="1">IFERROR(VLOOKUP($B135,'Institution Evaluation'!$A$55:$F$346,6,0),IFERROR(VLOOKUP($B135,'Privacy Analyst Evaluation'!$A$46:$F$120,6,0),""))&amp;""</f>
        <v/>
      </c>
      <c r="G135" s="217"/>
      <c r="H135" s="216" t="str">
        <f>IFERROR(IF($H134+1&gt;'(backend scoring)'!$Q$335,"",$H134+1),"")</f>
        <v/>
      </c>
      <c r="I135" s="216" t="e">
        <f ca="1">_xlfn.XLOOKUP($H135,'(backend scoring)'!$S$2:$S$333,'(backend scoring)'!$A$2:$A$333,"")</f>
        <v>#NAME?</v>
      </c>
      <c r="J135" s="216" t="str">
        <f ca="1">IFERROR(VLOOKUP($I135,'Institution Evaluation'!$A$55:$F$346,2,0),IFERROR(VLOOKUP($I135,'Privacy Analyst Evaluation'!$A$46:$F$120,2,0),""))</f>
        <v/>
      </c>
      <c r="K135" s="216" t="str">
        <f ca="1">IFERROR(VLOOKUP($I135,'Institution Evaluation'!$A$55:$F$346,3,0),IFERROR(VLOOKUP($I135,'Privacy Analyst Evaluation'!$A$46:$F$120,3,0),""))&amp;""</f>
        <v/>
      </c>
      <c r="L135" s="216" t="str">
        <f ca="1">IFERROR(VLOOKUP($I135,'Institution Evaluation'!$A$55:$F$346,4,0),IFERROR(VLOOKUP($I135,'Privacy Analyst Evaluation'!$A$46:$F$120,4,0),""))&amp;""</f>
        <v/>
      </c>
      <c r="M135" s="216" t="str">
        <f ca="1">IFERROR(VLOOKUP($I135,'Institution Evaluation'!$A$55:$F$346,6,0),IFERROR(VLOOKUP($I135,'Privacy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ht="17">
      <c r="A136" s="216" t="str">
        <f>IFERROR(IF($A135+1&gt;'(backend scoring)'!$T$335,"",$A135+1),"")</f>
        <v/>
      </c>
      <c r="B136" s="216" t="e">
        <f ca="1">_xlfn.XLOOKUP($A136,'(backend scoring)'!$V$2:$V$333,'(backend scoring)'!$A$2:$A$333,"")</f>
        <v>#NAME?</v>
      </c>
      <c r="C136" s="216" t="str">
        <f ca="1">IFERROR(VLOOKUP($B136,'Institution Evaluation'!$A$55:$F$346,2,0),IFERROR(VLOOKUP($B136,'Privacy Analyst Evaluation'!$A$46:$F$120,2,0),""))&amp;""</f>
        <v/>
      </c>
      <c r="D136" s="216" t="str">
        <f ca="1">IFERROR(VLOOKUP($B136,'Institution Evaluation'!$A$55:$F$346,3,0),IFERROR(VLOOKUP($B136,'Privacy Analyst Evaluation'!$A$46:$F$120,3,0),""))&amp;""</f>
        <v/>
      </c>
      <c r="E136" s="216" t="str">
        <f ca="1">IFERROR(VLOOKUP($B136,'Institution Evaluation'!$A$55:$F$346,4,0),IFERROR(VLOOKUP($B136,'Privacy Analyst Evaluation'!$A$46:$F$120,4,0),""))&amp;""</f>
        <v/>
      </c>
      <c r="F136" s="216" t="str">
        <f ca="1">IFERROR(VLOOKUP($B136,'Institution Evaluation'!$A$55:$F$346,6,0),IFERROR(VLOOKUP($B136,'Privacy Analyst Evaluation'!$A$46:$F$120,6,0),""))&amp;""</f>
        <v/>
      </c>
      <c r="G136" s="217"/>
      <c r="H136" s="216" t="str">
        <f>IFERROR(IF($H135+1&gt;'(backend scoring)'!$Q$335,"",$H135+1),"")</f>
        <v/>
      </c>
      <c r="I136" s="216" t="e">
        <f ca="1">_xlfn.XLOOKUP($H136,'(backend scoring)'!$S$2:$S$333,'(backend scoring)'!$A$2:$A$333,"")</f>
        <v>#NAME?</v>
      </c>
      <c r="J136" s="216" t="str">
        <f ca="1">IFERROR(VLOOKUP($I136,'Institution Evaluation'!$A$55:$F$346,2,0),IFERROR(VLOOKUP($I136,'Privacy Analyst Evaluation'!$A$46:$F$120,2,0),""))</f>
        <v/>
      </c>
      <c r="K136" s="216" t="str">
        <f ca="1">IFERROR(VLOOKUP($I136,'Institution Evaluation'!$A$55:$F$346,3,0),IFERROR(VLOOKUP($I136,'Privacy Analyst Evaluation'!$A$46:$F$120,3,0),""))&amp;""</f>
        <v/>
      </c>
      <c r="L136" s="216" t="str">
        <f ca="1">IFERROR(VLOOKUP($I136,'Institution Evaluation'!$A$55:$F$346,4,0),IFERROR(VLOOKUP($I136,'Privacy Analyst Evaluation'!$A$46:$F$120,4,0),""))&amp;""</f>
        <v/>
      </c>
      <c r="M136" s="216" t="str">
        <f ca="1">IFERROR(VLOOKUP($I136,'Institution Evaluation'!$A$55:$F$346,6,0),IFERROR(VLOOKUP($I136,'Privacy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ht="17">
      <c r="A137" s="216" t="str">
        <f>IFERROR(IF($A136+1&gt;'(backend scoring)'!$T$335,"",$A136+1),"")</f>
        <v/>
      </c>
      <c r="B137" s="216" t="e">
        <f ca="1">_xlfn.XLOOKUP($A137,'(backend scoring)'!$V$2:$V$333,'(backend scoring)'!$A$2:$A$333,"")</f>
        <v>#NAME?</v>
      </c>
      <c r="C137" s="216" t="str">
        <f ca="1">IFERROR(VLOOKUP($B137,'Institution Evaluation'!$A$55:$F$346,2,0),IFERROR(VLOOKUP($B137,'Privacy Analyst Evaluation'!$A$46:$F$120,2,0),""))&amp;""</f>
        <v/>
      </c>
      <c r="D137" s="216" t="str">
        <f ca="1">IFERROR(VLOOKUP($B137,'Institution Evaluation'!$A$55:$F$346,3,0),IFERROR(VLOOKUP($B137,'Privacy Analyst Evaluation'!$A$46:$F$120,3,0),""))&amp;""</f>
        <v/>
      </c>
      <c r="E137" s="216" t="str">
        <f ca="1">IFERROR(VLOOKUP($B137,'Institution Evaluation'!$A$55:$F$346,4,0),IFERROR(VLOOKUP($B137,'Privacy Analyst Evaluation'!$A$46:$F$120,4,0),""))&amp;""</f>
        <v/>
      </c>
      <c r="F137" s="216" t="str">
        <f ca="1">IFERROR(VLOOKUP($B137,'Institution Evaluation'!$A$55:$F$346,6,0),IFERROR(VLOOKUP($B137,'Privacy Analyst Evaluation'!$A$46:$F$120,6,0),""))&amp;""</f>
        <v/>
      </c>
      <c r="G137" s="217"/>
      <c r="H137" s="216" t="str">
        <f>IFERROR(IF($H136+1&gt;'(backend scoring)'!$Q$335,"",$H136+1),"")</f>
        <v/>
      </c>
      <c r="I137" s="216" t="e">
        <f ca="1">_xlfn.XLOOKUP($H137,'(backend scoring)'!$S$2:$S$333,'(backend scoring)'!$A$2:$A$333,"")</f>
        <v>#NAME?</v>
      </c>
      <c r="J137" s="216" t="str">
        <f ca="1">IFERROR(VLOOKUP($I137,'Institution Evaluation'!$A$55:$F$346,2,0),IFERROR(VLOOKUP($I137,'Privacy Analyst Evaluation'!$A$46:$F$120,2,0),""))</f>
        <v/>
      </c>
      <c r="K137" s="216" t="str">
        <f ca="1">IFERROR(VLOOKUP($I137,'Institution Evaluation'!$A$55:$F$346,3,0),IFERROR(VLOOKUP($I137,'Privacy Analyst Evaluation'!$A$46:$F$120,3,0),""))&amp;""</f>
        <v/>
      </c>
      <c r="L137" s="216" t="str">
        <f ca="1">IFERROR(VLOOKUP($I137,'Institution Evaluation'!$A$55:$F$346,4,0),IFERROR(VLOOKUP($I137,'Privacy Analyst Evaluation'!$A$46:$F$120,4,0),""))&amp;""</f>
        <v/>
      </c>
      <c r="M137" s="216" t="str">
        <f ca="1">IFERROR(VLOOKUP($I137,'Institution Evaluation'!$A$55:$F$346,6,0),IFERROR(VLOOKUP($I137,'Privacy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ht="17">
      <c r="A138" s="216" t="str">
        <f>IFERROR(IF($A137+1&gt;'(backend scoring)'!$T$335,"",$A137+1),"")</f>
        <v/>
      </c>
      <c r="B138" s="216" t="e">
        <f ca="1">_xlfn.XLOOKUP($A138,'(backend scoring)'!$V$2:$V$333,'(backend scoring)'!$A$2:$A$333,"")</f>
        <v>#NAME?</v>
      </c>
      <c r="C138" s="216" t="str">
        <f ca="1">IFERROR(VLOOKUP($B138,'Institution Evaluation'!$A$55:$F$346,2,0),IFERROR(VLOOKUP($B138,'Privacy Analyst Evaluation'!$A$46:$F$120,2,0),""))&amp;""</f>
        <v/>
      </c>
      <c r="D138" s="216" t="str">
        <f ca="1">IFERROR(VLOOKUP($B138,'Institution Evaluation'!$A$55:$F$346,3,0),IFERROR(VLOOKUP($B138,'Privacy Analyst Evaluation'!$A$46:$F$120,3,0),""))&amp;""</f>
        <v/>
      </c>
      <c r="E138" s="216" t="str">
        <f ca="1">IFERROR(VLOOKUP($B138,'Institution Evaluation'!$A$55:$F$346,4,0),IFERROR(VLOOKUP($B138,'Privacy Analyst Evaluation'!$A$46:$F$120,4,0),""))&amp;""</f>
        <v/>
      </c>
      <c r="F138" s="216" t="str">
        <f ca="1">IFERROR(VLOOKUP($B138,'Institution Evaluation'!$A$55:$F$346,6,0),IFERROR(VLOOKUP($B138,'Privacy Analyst Evaluation'!$A$46:$F$120,6,0),""))&amp;""</f>
        <v/>
      </c>
      <c r="G138" s="217"/>
      <c r="H138" s="216" t="str">
        <f>IFERROR(IF($H137+1&gt;'(backend scoring)'!$Q$335,"",$H137+1),"")</f>
        <v/>
      </c>
      <c r="I138" s="216" t="e">
        <f ca="1">_xlfn.XLOOKUP($H138,'(backend scoring)'!$S$2:$S$333,'(backend scoring)'!$A$2:$A$333,"")</f>
        <v>#NAME?</v>
      </c>
      <c r="J138" s="216" t="str">
        <f ca="1">IFERROR(VLOOKUP($I138,'Institution Evaluation'!$A$55:$F$346,2,0),IFERROR(VLOOKUP($I138,'Privacy Analyst Evaluation'!$A$46:$F$120,2,0),""))</f>
        <v/>
      </c>
      <c r="K138" s="216" t="str">
        <f ca="1">IFERROR(VLOOKUP($I138,'Institution Evaluation'!$A$55:$F$346,3,0),IFERROR(VLOOKUP($I138,'Privacy Analyst Evaluation'!$A$46:$F$120,3,0),""))&amp;""</f>
        <v/>
      </c>
      <c r="L138" s="216" t="str">
        <f ca="1">IFERROR(VLOOKUP($I138,'Institution Evaluation'!$A$55:$F$346,4,0),IFERROR(VLOOKUP($I138,'Privacy Analyst Evaluation'!$A$46:$F$120,4,0),""))&amp;""</f>
        <v/>
      </c>
      <c r="M138" s="216" t="str">
        <f ca="1">IFERROR(VLOOKUP($I138,'Institution Evaluation'!$A$55:$F$346,6,0),IFERROR(VLOOKUP($I138,'Privacy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ht="17">
      <c r="A139" s="216" t="str">
        <f>IFERROR(IF($A138+1&gt;'(backend scoring)'!$T$335,"",$A138+1),"")</f>
        <v/>
      </c>
      <c r="B139" s="216" t="e">
        <f ca="1">_xlfn.XLOOKUP($A139,'(backend scoring)'!$V$2:$V$333,'(backend scoring)'!$A$2:$A$333,"")</f>
        <v>#NAME?</v>
      </c>
      <c r="C139" s="216" t="str">
        <f ca="1">IFERROR(VLOOKUP($B139,'Institution Evaluation'!$A$55:$F$346,2,0),IFERROR(VLOOKUP($B139,'Privacy Analyst Evaluation'!$A$46:$F$120,2,0),""))&amp;""</f>
        <v/>
      </c>
      <c r="D139" s="216" t="str">
        <f ca="1">IFERROR(VLOOKUP($B139,'Institution Evaluation'!$A$55:$F$346,3,0),IFERROR(VLOOKUP($B139,'Privacy Analyst Evaluation'!$A$46:$F$120,3,0),""))&amp;""</f>
        <v/>
      </c>
      <c r="E139" s="216" t="str">
        <f ca="1">IFERROR(VLOOKUP($B139,'Institution Evaluation'!$A$55:$F$346,4,0),IFERROR(VLOOKUP($B139,'Privacy Analyst Evaluation'!$A$46:$F$120,4,0),""))&amp;""</f>
        <v/>
      </c>
      <c r="F139" s="216" t="str">
        <f ca="1">IFERROR(VLOOKUP($B139,'Institution Evaluation'!$A$55:$F$346,6,0),IFERROR(VLOOKUP($B139,'Privacy Analyst Evaluation'!$A$46:$F$120,6,0),""))&amp;""</f>
        <v/>
      </c>
      <c r="G139" s="217"/>
      <c r="H139" s="216" t="str">
        <f>IFERROR(IF($H138+1&gt;'(backend scoring)'!$Q$335,"",$H138+1),"")</f>
        <v/>
      </c>
      <c r="I139" s="216" t="e">
        <f ca="1">_xlfn.XLOOKUP($H139,'(backend scoring)'!$S$2:$S$333,'(backend scoring)'!$A$2:$A$333,"")</f>
        <v>#NAME?</v>
      </c>
      <c r="J139" s="216" t="str">
        <f ca="1">IFERROR(VLOOKUP($I139,'Institution Evaluation'!$A$55:$F$346,2,0),IFERROR(VLOOKUP($I139,'Privacy Analyst Evaluation'!$A$46:$F$120,2,0),""))</f>
        <v/>
      </c>
      <c r="K139" s="216" t="str">
        <f ca="1">IFERROR(VLOOKUP($I139,'Institution Evaluation'!$A$55:$F$346,3,0),IFERROR(VLOOKUP($I139,'Privacy Analyst Evaluation'!$A$46:$F$120,3,0),""))&amp;""</f>
        <v/>
      </c>
      <c r="L139" s="216" t="str">
        <f ca="1">IFERROR(VLOOKUP($I139,'Institution Evaluation'!$A$55:$F$346,4,0),IFERROR(VLOOKUP($I139,'Privacy Analyst Evaluation'!$A$46:$F$120,4,0),""))&amp;""</f>
        <v/>
      </c>
      <c r="M139" s="216" t="str">
        <f ca="1">IFERROR(VLOOKUP($I139,'Institution Evaluation'!$A$55:$F$346,6,0),IFERROR(VLOOKUP($I139,'Privacy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ht="17">
      <c r="A140" s="216" t="str">
        <f>IFERROR(IF($A139+1&gt;'(backend scoring)'!$T$335,"",$A139+1),"")</f>
        <v/>
      </c>
      <c r="B140" s="216" t="e">
        <f ca="1">_xlfn.XLOOKUP($A140,'(backend scoring)'!$V$2:$V$333,'(backend scoring)'!$A$2:$A$333,"")</f>
        <v>#NAME?</v>
      </c>
      <c r="C140" s="216" t="str">
        <f ca="1">IFERROR(VLOOKUP($B140,'Institution Evaluation'!$A$55:$F$346,2,0),IFERROR(VLOOKUP($B140,'Privacy Analyst Evaluation'!$A$46:$F$120,2,0),""))&amp;""</f>
        <v/>
      </c>
      <c r="D140" s="216" t="str">
        <f ca="1">IFERROR(VLOOKUP($B140,'Institution Evaluation'!$A$55:$F$346,3,0),IFERROR(VLOOKUP($B140,'Privacy Analyst Evaluation'!$A$46:$F$120,3,0),""))&amp;""</f>
        <v/>
      </c>
      <c r="E140" s="216" t="str">
        <f ca="1">IFERROR(VLOOKUP($B140,'Institution Evaluation'!$A$55:$F$346,4,0),IFERROR(VLOOKUP($B140,'Privacy Analyst Evaluation'!$A$46:$F$120,4,0),""))&amp;""</f>
        <v/>
      </c>
      <c r="F140" s="216" t="str">
        <f ca="1">IFERROR(VLOOKUP($B140,'Institution Evaluation'!$A$55:$F$346,6,0),IFERROR(VLOOKUP($B140,'Privacy Analyst Evaluation'!$A$46:$F$120,6,0),""))&amp;""</f>
        <v/>
      </c>
      <c r="G140" s="217"/>
      <c r="H140" s="216" t="str">
        <f>IFERROR(IF($H139+1&gt;'(backend scoring)'!$Q$335,"",$H139+1),"")</f>
        <v/>
      </c>
      <c r="I140" s="216" t="e">
        <f ca="1">_xlfn.XLOOKUP($H140,'(backend scoring)'!$S$2:$S$333,'(backend scoring)'!$A$2:$A$333,"")</f>
        <v>#NAME?</v>
      </c>
      <c r="J140" s="216" t="str">
        <f ca="1">IFERROR(VLOOKUP($I140,'Institution Evaluation'!$A$55:$F$346,2,0),IFERROR(VLOOKUP($I140,'Privacy Analyst Evaluation'!$A$46:$F$120,2,0),""))</f>
        <v/>
      </c>
      <c r="K140" s="216" t="str">
        <f ca="1">IFERROR(VLOOKUP($I140,'Institution Evaluation'!$A$55:$F$346,3,0),IFERROR(VLOOKUP($I140,'Privacy Analyst Evaluation'!$A$46:$F$120,3,0),""))&amp;""</f>
        <v/>
      </c>
      <c r="L140" s="216" t="str">
        <f ca="1">IFERROR(VLOOKUP($I140,'Institution Evaluation'!$A$55:$F$346,4,0),IFERROR(VLOOKUP($I140,'Privacy Analyst Evaluation'!$A$46:$F$120,4,0),""))&amp;""</f>
        <v/>
      </c>
      <c r="M140" s="216" t="str">
        <f ca="1">IFERROR(VLOOKUP($I140,'Institution Evaluation'!$A$55:$F$346,6,0),IFERROR(VLOOKUP($I140,'Privacy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ht="17">
      <c r="A141" s="216" t="str">
        <f>IFERROR(IF($A140+1&gt;'(backend scoring)'!$T$335,"",$A140+1),"")</f>
        <v/>
      </c>
      <c r="B141" s="216" t="e">
        <f ca="1">_xlfn.XLOOKUP($A141,'(backend scoring)'!$V$2:$V$333,'(backend scoring)'!$A$2:$A$333,"")</f>
        <v>#NAME?</v>
      </c>
      <c r="C141" s="216" t="str">
        <f ca="1">IFERROR(VLOOKUP($B141,'Institution Evaluation'!$A$55:$F$346,2,0),IFERROR(VLOOKUP($B141,'Privacy Analyst Evaluation'!$A$46:$F$120,2,0),""))&amp;""</f>
        <v/>
      </c>
      <c r="D141" s="216" t="str">
        <f ca="1">IFERROR(VLOOKUP($B141,'Institution Evaluation'!$A$55:$F$346,3,0),IFERROR(VLOOKUP($B141,'Privacy Analyst Evaluation'!$A$46:$F$120,3,0),""))&amp;""</f>
        <v/>
      </c>
      <c r="E141" s="216" t="str">
        <f ca="1">IFERROR(VLOOKUP($B141,'Institution Evaluation'!$A$55:$F$346,4,0),IFERROR(VLOOKUP($B141,'Privacy Analyst Evaluation'!$A$46:$F$120,4,0),""))&amp;""</f>
        <v/>
      </c>
      <c r="F141" s="216" t="str">
        <f ca="1">IFERROR(VLOOKUP($B141,'Institution Evaluation'!$A$55:$F$346,6,0),IFERROR(VLOOKUP($B141,'Privacy Analyst Evaluation'!$A$46:$F$120,6,0),""))&amp;""</f>
        <v/>
      </c>
      <c r="G141" s="217"/>
      <c r="H141" s="216" t="str">
        <f>IFERROR(IF($H140+1&gt;'(backend scoring)'!$Q$335,"",$H140+1),"")</f>
        <v/>
      </c>
      <c r="I141" s="216" t="e">
        <f ca="1">_xlfn.XLOOKUP($H141,'(backend scoring)'!$S$2:$S$333,'(backend scoring)'!$A$2:$A$333,"")</f>
        <v>#NAME?</v>
      </c>
      <c r="J141" s="216" t="str">
        <f ca="1">IFERROR(VLOOKUP($I141,'Institution Evaluation'!$A$55:$F$346,2,0),IFERROR(VLOOKUP($I141,'Privacy Analyst Evaluation'!$A$46:$F$120,2,0),""))</f>
        <v/>
      </c>
      <c r="K141" s="216" t="str">
        <f ca="1">IFERROR(VLOOKUP($I141,'Institution Evaluation'!$A$55:$F$346,3,0),IFERROR(VLOOKUP($I141,'Privacy Analyst Evaluation'!$A$46:$F$120,3,0),""))&amp;""</f>
        <v/>
      </c>
      <c r="L141" s="216" t="str">
        <f ca="1">IFERROR(VLOOKUP($I141,'Institution Evaluation'!$A$55:$F$346,4,0),IFERROR(VLOOKUP($I141,'Privacy Analyst Evaluation'!$A$46:$F$120,4,0),""))&amp;""</f>
        <v/>
      </c>
      <c r="M141" s="216" t="str">
        <f ca="1">IFERROR(VLOOKUP($I141,'Institution Evaluation'!$A$55:$F$346,6,0),IFERROR(VLOOKUP($I141,'Privacy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ht="17">
      <c r="A142" s="216" t="str">
        <f>IFERROR(IF($A141+1&gt;'(backend scoring)'!$T$335,"",$A141+1),"")</f>
        <v/>
      </c>
      <c r="B142" s="216" t="e">
        <f ca="1">_xlfn.XLOOKUP($A142,'(backend scoring)'!$V$2:$V$333,'(backend scoring)'!$A$2:$A$333,"")</f>
        <v>#NAME?</v>
      </c>
      <c r="C142" s="216" t="str">
        <f ca="1">IFERROR(VLOOKUP($B142,'Institution Evaluation'!$A$55:$F$346,2,0),IFERROR(VLOOKUP($B142,'Privacy Analyst Evaluation'!$A$46:$F$120,2,0),""))&amp;""</f>
        <v/>
      </c>
      <c r="D142" s="216" t="str">
        <f ca="1">IFERROR(VLOOKUP($B142,'Institution Evaluation'!$A$55:$F$346,3,0),IFERROR(VLOOKUP($B142,'Privacy Analyst Evaluation'!$A$46:$F$120,3,0),""))&amp;""</f>
        <v/>
      </c>
      <c r="E142" s="216" t="str">
        <f ca="1">IFERROR(VLOOKUP($B142,'Institution Evaluation'!$A$55:$F$346,4,0),IFERROR(VLOOKUP($B142,'Privacy Analyst Evaluation'!$A$46:$F$120,4,0),""))&amp;""</f>
        <v/>
      </c>
      <c r="F142" s="216" t="str">
        <f ca="1">IFERROR(VLOOKUP($B142,'Institution Evaluation'!$A$55:$F$346,6,0),IFERROR(VLOOKUP($B142,'Privacy Analyst Evaluation'!$A$46:$F$120,6,0),""))&amp;""</f>
        <v/>
      </c>
      <c r="G142" s="217"/>
      <c r="H142" s="216" t="str">
        <f>IFERROR(IF($H141+1&gt;'(backend scoring)'!$Q$335,"",$H141+1),"")</f>
        <v/>
      </c>
      <c r="I142" s="216" t="e">
        <f ca="1">_xlfn.XLOOKUP($H142,'(backend scoring)'!$S$2:$S$333,'(backend scoring)'!$A$2:$A$333,"")</f>
        <v>#NAME?</v>
      </c>
      <c r="J142" s="216" t="str">
        <f ca="1">IFERROR(VLOOKUP($I142,'Institution Evaluation'!$A$55:$F$346,2,0),IFERROR(VLOOKUP($I142,'Privacy Analyst Evaluation'!$A$46:$F$120,2,0),""))</f>
        <v/>
      </c>
      <c r="K142" s="216" t="str">
        <f ca="1">IFERROR(VLOOKUP($I142,'Institution Evaluation'!$A$55:$F$346,3,0),IFERROR(VLOOKUP($I142,'Privacy Analyst Evaluation'!$A$46:$F$120,3,0),""))&amp;""</f>
        <v/>
      </c>
      <c r="L142" s="216" t="str">
        <f ca="1">IFERROR(VLOOKUP($I142,'Institution Evaluation'!$A$55:$F$346,4,0),IFERROR(VLOOKUP($I142,'Privacy Analyst Evaluation'!$A$46:$F$120,4,0),""))&amp;""</f>
        <v/>
      </c>
      <c r="M142" s="216" t="str">
        <f ca="1">IFERROR(VLOOKUP($I142,'Institution Evaluation'!$A$55:$F$346,6,0),IFERROR(VLOOKUP($I142,'Privacy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ht="17">
      <c r="A143" s="216" t="str">
        <f>IFERROR(IF($A142+1&gt;'(backend scoring)'!$T$335,"",$A142+1),"")</f>
        <v/>
      </c>
      <c r="B143" s="216" t="e">
        <f ca="1">_xlfn.XLOOKUP($A143,'(backend scoring)'!$V$2:$V$333,'(backend scoring)'!$A$2:$A$333,"")</f>
        <v>#NAME?</v>
      </c>
      <c r="C143" s="216" t="str">
        <f ca="1">IFERROR(VLOOKUP($B143,'Institution Evaluation'!$A$55:$F$346,2,0),IFERROR(VLOOKUP($B143,'Privacy Analyst Evaluation'!$A$46:$F$120,2,0),""))&amp;""</f>
        <v/>
      </c>
      <c r="D143" s="216" t="str">
        <f ca="1">IFERROR(VLOOKUP($B143,'Institution Evaluation'!$A$55:$F$346,3,0),IFERROR(VLOOKUP($B143,'Privacy Analyst Evaluation'!$A$46:$F$120,3,0),""))&amp;""</f>
        <v/>
      </c>
      <c r="E143" s="216" t="str">
        <f ca="1">IFERROR(VLOOKUP($B143,'Institution Evaluation'!$A$55:$F$346,4,0),IFERROR(VLOOKUP($B143,'Privacy Analyst Evaluation'!$A$46:$F$120,4,0),""))&amp;""</f>
        <v/>
      </c>
      <c r="F143" s="216" t="str">
        <f ca="1">IFERROR(VLOOKUP($B143,'Institution Evaluation'!$A$55:$F$346,6,0),IFERROR(VLOOKUP($B143,'Privacy Analyst Evaluation'!$A$46:$F$120,6,0),""))&amp;""</f>
        <v/>
      </c>
      <c r="G143" s="217"/>
      <c r="H143" s="216" t="str">
        <f>IFERROR(IF($H142+1&gt;'(backend scoring)'!$Q$335,"",$H142+1),"")</f>
        <v/>
      </c>
      <c r="I143" s="216" t="e">
        <f ca="1">_xlfn.XLOOKUP($H143,'(backend scoring)'!$S$2:$S$333,'(backend scoring)'!$A$2:$A$333,"")</f>
        <v>#NAME?</v>
      </c>
      <c r="J143" s="216" t="str">
        <f ca="1">IFERROR(VLOOKUP($I143,'Institution Evaluation'!$A$55:$F$346,2,0),IFERROR(VLOOKUP($I143,'Privacy Analyst Evaluation'!$A$46:$F$120,2,0),""))</f>
        <v/>
      </c>
      <c r="K143" s="216" t="str">
        <f ca="1">IFERROR(VLOOKUP($I143,'Institution Evaluation'!$A$55:$F$346,3,0),IFERROR(VLOOKUP($I143,'Privacy Analyst Evaluation'!$A$46:$F$120,3,0),""))&amp;""</f>
        <v/>
      </c>
      <c r="L143" s="216" t="str">
        <f ca="1">IFERROR(VLOOKUP($I143,'Institution Evaluation'!$A$55:$F$346,4,0),IFERROR(VLOOKUP($I143,'Privacy Analyst Evaluation'!$A$46:$F$120,4,0),""))&amp;""</f>
        <v/>
      </c>
      <c r="M143" s="216" t="str">
        <f ca="1">IFERROR(VLOOKUP($I143,'Institution Evaluation'!$A$55:$F$346,6,0),IFERROR(VLOOKUP($I143,'Privacy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ht="17">
      <c r="A144" s="216" t="str">
        <f>IFERROR(IF($A143+1&gt;'(backend scoring)'!$T$335,"",$A143+1),"")</f>
        <v/>
      </c>
      <c r="B144" s="216" t="e">
        <f ca="1">_xlfn.XLOOKUP($A144,'(backend scoring)'!$V$2:$V$333,'(backend scoring)'!$A$2:$A$333,"")</f>
        <v>#NAME?</v>
      </c>
      <c r="C144" s="216" t="str">
        <f ca="1">IFERROR(VLOOKUP($B144,'Institution Evaluation'!$A$55:$F$346,2,0),IFERROR(VLOOKUP($B144,'Privacy Analyst Evaluation'!$A$46:$F$120,2,0),""))&amp;""</f>
        <v/>
      </c>
      <c r="D144" s="216" t="str">
        <f ca="1">IFERROR(VLOOKUP($B144,'Institution Evaluation'!$A$55:$F$346,3,0),IFERROR(VLOOKUP($B144,'Privacy Analyst Evaluation'!$A$46:$F$120,3,0),""))&amp;""</f>
        <v/>
      </c>
      <c r="E144" s="216" t="str">
        <f ca="1">IFERROR(VLOOKUP($B144,'Institution Evaluation'!$A$55:$F$346,4,0),IFERROR(VLOOKUP($B144,'Privacy Analyst Evaluation'!$A$46:$F$120,4,0),""))&amp;""</f>
        <v/>
      </c>
      <c r="F144" s="216" t="str">
        <f ca="1">IFERROR(VLOOKUP($B144,'Institution Evaluation'!$A$55:$F$346,6,0),IFERROR(VLOOKUP($B144,'Privacy Analyst Evaluation'!$A$46:$F$120,6,0),""))&amp;""</f>
        <v/>
      </c>
      <c r="G144" s="217"/>
      <c r="H144" s="216" t="str">
        <f>IFERROR(IF($H143+1&gt;'(backend scoring)'!$Q$335,"",$H143+1),"")</f>
        <v/>
      </c>
      <c r="I144" s="216" t="e">
        <f ca="1">_xlfn.XLOOKUP($H144,'(backend scoring)'!$S$2:$S$333,'(backend scoring)'!$A$2:$A$333,"")</f>
        <v>#NAME?</v>
      </c>
      <c r="J144" s="216" t="str">
        <f ca="1">IFERROR(VLOOKUP($I144,'Institution Evaluation'!$A$55:$F$346,2,0),IFERROR(VLOOKUP($I144,'Privacy Analyst Evaluation'!$A$46:$F$120,2,0),""))</f>
        <v/>
      </c>
      <c r="K144" s="216" t="str">
        <f ca="1">IFERROR(VLOOKUP($I144,'Institution Evaluation'!$A$55:$F$346,3,0),IFERROR(VLOOKUP($I144,'Privacy Analyst Evaluation'!$A$46:$F$120,3,0),""))&amp;""</f>
        <v/>
      </c>
      <c r="L144" s="216" t="str">
        <f ca="1">IFERROR(VLOOKUP($I144,'Institution Evaluation'!$A$55:$F$346,4,0),IFERROR(VLOOKUP($I144,'Privacy Analyst Evaluation'!$A$46:$F$120,4,0),""))&amp;""</f>
        <v/>
      </c>
      <c r="M144" s="216" t="str">
        <f ca="1">IFERROR(VLOOKUP($I144,'Institution Evaluation'!$A$55:$F$346,6,0),IFERROR(VLOOKUP($I144,'Privacy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ht="17">
      <c r="A145" s="216" t="str">
        <f>IFERROR(IF($A144+1&gt;'(backend scoring)'!$T$335,"",$A144+1),"")</f>
        <v/>
      </c>
      <c r="B145" s="216" t="e">
        <f ca="1">_xlfn.XLOOKUP($A145,'(backend scoring)'!$V$2:$V$333,'(backend scoring)'!$A$2:$A$333,"")</f>
        <v>#NAME?</v>
      </c>
      <c r="C145" s="216" t="str">
        <f ca="1">IFERROR(VLOOKUP($B145,'Institution Evaluation'!$A$55:$F$346,2,0),IFERROR(VLOOKUP($B145,'Privacy Analyst Evaluation'!$A$46:$F$120,2,0),""))&amp;""</f>
        <v/>
      </c>
      <c r="D145" s="216" t="str">
        <f ca="1">IFERROR(VLOOKUP($B145,'Institution Evaluation'!$A$55:$F$346,3,0),IFERROR(VLOOKUP($B145,'Privacy Analyst Evaluation'!$A$46:$F$120,3,0),""))&amp;""</f>
        <v/>
      </c>
      <c r="E145" s="216" t="str">
        <f ca="1">IFERROR(VLOOKUP($B145,'Institution Evaluation'!$A$55:$F$346,4,0),IFERROR(VLOOKUP($B145,'Privacy Analyst Evaluation'!$A$46:$F$120,4,0),""))&amp;""</f>
        <v/>
      </c>
      <c r="F145" s="216" t="str">
        <f ca="1">IFERROR(VLOOKUP($B145,'Institution Evaluation'!$A$55:$F$346,6,0),IFERROR(VLOOKUP($B145,'Privacy Analyst Evaluation'!$A$46:$F$120,6,0),""))&amp;""</f>
        <v/>
      </c>
      <c r="G145" s="217"/>
      <c r="H145" s="216" t="str">
        <f>IFERROR(IF($H144+1&gt;'(backend scoring)'!$Q$335,"",$H144+1),"")</f>
        <v/>
      </c>
      <c r="I145" s="216" t="e">
        <f ca="1">_xlfn.XLOOKUP($H145,'(backend scoring)'!$S$2:$S$333,'(backend scoring)'!$A$2:$A$333,"")</f>
        <v>#NAME?</v>
      </c>
      <c r="J145" s="216" t="str">
        <f ca="1">IFERROR(VLOOKUP($I145,'Institution Evaluation'!$A$55:$F$346,2,0),IFERROR(VLOOKUP($I145,'Privacy Analyst Evaluation'!$A$46:$F$120,2,0),""))</f>
        <v/>
      </c>
      <c r="K145" s="216" t="str">
        <f ca="1">IFERROR(VLOOKUP($I145,'Institution Evaluation'!$A$55:$F$346,3,0),IFERROR(VLOOKUP($I145,'Privacy Analyst Evaluation'!$A$46:$F$120,3,0),""))&amp;""</f>
        <v/>
      </c>
      <c r="L145" s="216" t="str">
        <f ca="1">IFERROR(VLOOKUP($I145,'Institution Evaluation'!$A$55:$F$346,4,0),IFERROR(VLOOKUP($I145,'Privacy Analyst Evaluation'!$A$46:$F$120,4,0),""))&amp;""</f>
        <v/>
      </c>
      <c r="M145" s="216" t="str">
        <f ca="1">IFERROR(VLOOKUP($I145,'Institution Evaluation'!$A$55:$F$346,6,0),IFERROR(VLOOKUP($I145,'Privacy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ht="17">
      <c r="A146" s="216" t="str">
        <f>IFERROR(IF($A145+1&gt;'(backend scoring)'!$T$335,"",$A145+1),"")</f>
        <v/>
      </c>
      <c r="B146" s="216" t="e">
        <f ca="1">_xlfn.XLOOKUP($A146,'(backend scoring)'!$V$2:$V$333,'(backend scoring)'!$A$2:$A$333,"")</f>
        <v>#NAME?</v>
      </c>
      <c r="C146" s="216" t="str">
        <f ca="1">IFERROR(VLOOKUP($B146,'Institution Evaluation'!$A$55:$F$346,2,0),IFERROR(VLOOKUP($B146,'Privacy Analyst Evaluation'!$A$46:$F$120,2,0),""))&amp;""</f>
        <v/>
      </c>
      <c r="D146" s="216" t="str">
        <f ca="1">IFERROR(VLOOKUP($B146,'Institution Evaluation'!$A$55:$F$346,3,0),IFERROR(VLOOKUP($B146,'Privacy Analyst Evaluation'!$A$46:$F$120,3,0),""))&amp;""</f>
        <v/>
      </c>
      <c r="E146" s="216" t="str">
        <f ca="1">IFERROR(VLOOKUP($B146,'Institution Evaluation'!$A$55:$F$346,4,0),IFERROR(VLOOKUP($B146,'Privacy Analyst Evaluation'!$A$46:$F$120,4,0),""))&amp;""</f>
        <v/>
      </c>
      <c r="F146" s="216" t="str">
        <f ca="1">IFERROR(VLOOKUP($B146,'Institution Evaluation'!$A$55:$F$346,6,0),IFERROR(VLOOKUP($B146,'Privacy Analyst Evaluation'!$A$46:$F$120,6,0),""))&amp;""</f>
        <v/>
      </c>
      <c r="G146" s="217"/>
      <c r="H146" s="216" t="str">
        <f>IFERROR(IF($H145+1&gt;'(backend scoring)'!$Q$335,"",$H145+1),"")</f>
        <v/>
      </c>
      <c r="I146" s="216" t="e">
        <f ca="1">_xlfn.XLOOKUP($H146,'(backend scoring)'!$S$2:$S$333,'(backend scoring)'!$A$2:$A$333,"")</f>
        <v>#NAME?</v>
      </c>
      <c r="J146" s="216" t="str">
        <f ca="1">IFERROR(VLOOKUP($I146,'Institution Evaluation'!$A$55:$F$346,2,0),IFERROR(VLOOKUP($I146,'Privacy Analyst Evaluation'!$A$46:$F$120,2,0),""))</f>
        <v/>
      </c>
      <c r="K146" s="216" t="str">
        <f ca="1">IFERROR(VLOOKUP($I146,'Institution Evaluation'!$A$55:$F$346,3,0),IFERROR(VLOOKUP($I146,'Privacy Analyst Evaluation'!$A$46:$F$120,3,0),""))&amp;""</f>
        <v/>
      </c>
      <c r="L146" s="216" t="str">
        <f ca="1">IFERROR(VLOOKUP($I146,'Institution Evaluation'!$A$55:$F$346,4,0),IFERROR(VLOOKUP($I146,'Privacy Analyst Evaluation'!$A$46:$F$120,4,0),""))&amp;""</f>
        <v/>
      </c>
      <c r="M146" s="216" t="str">
        <f ca="1">IFERROR(VLOOKUP($I146,'Institution Evaluation'!$A$55:$F$346,6,0),IFERROR(VLOOKUP($I146,'Privacy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ht="17">
      <c r="A147" s="216" t="str">
        <f>IFERROR(IF($A146+1&gt;'(backend scoring)'!$T$335,"",$A146+1),"")</f>
        <v/>
      </c>
      <c r="B147" s="216" t="e">
        <f ca="1">_xlfn.XLOOKUP($A147,'(backend scoring)'!$V$2:$V$333,'(backend scoring)'!$A$2:$A$333,"")</f>
        <v>#NAME?</v>
      </c>
      <c r="C147" s="216" t="str">
        <f ca="1">IFERROR(VLOOKUP($B147,'Institution Evaluation'!$A$55:$F$346,2,0),IFERROR(VLOOKUP($B147,'Privacy Analyst Evaluation'!$A$46:$F$120,2,0),""))&amp;""</f>
        <v/>
      </c>
      <c r="D147" s="216" t="str">
        <f ca="1">IFERROR(VLOOKUP($B147,'Institution Evaluation'!$A$55:$F$346,3,0),IFERROR(VLOOKUP($B147,'Privacy Analyst Evaluation'!$A$46:$F$120,3,0),""))&amp;""</f>
        <v/>
      </c>
      <c r="E147" s="216" t="str">
        <f ca="1">IFERROR(VLOOKUP($B147,'Institution Evaluation'!$A$55:$F$346,4,0),IFERROR(VLOOKUP($B147,'Privacy Analyst Evaluation'!$A$46:$F$120,4,0),""))&amp;""</f>
        <v/>
      </c>
      <c r="F147" s="216" t="str">
        <f ca="1">IFERROR(VLOOKUP($B147,'Institution Evaluation'!$A$55:$F$346,6,0),IFERROR(VLOOKUP($B147,'Privacy Analyst Evaluation'!$A$46:$F$120,6,0),""))&amp;""</f>
        <v/>
      </c>
      <c r="G147" s="217"/>
      <c r="H147" s="216" t="str">
        <f>IFERROR(IF($H146+1&gt;'(backend scoring)'!$Q$335,"",$H146+1),"")</f>
        <v/>
      </c>
      <c r="I147" s="216" t="e">
        <f ca="1">_xlfn.XLOOKUP($H147,'(backend scoring)'!$S$2:$S$333,'(backend scoring)'!$A$2:$A$333,"")</f>
        <v>#NAME?</v>
      </c>
      <c r="J147" s="216" t="str">
        <f ca="1">IFERROR(VLOOKUP($I147,'Institution Evaluation'!$A$55:$F$346,2,0),IFERROR(VLOOKUP($I147,'Privacy Analyst Evaluation'!$A$46:$F$120,2,0),""))</f>
        <v/>
      </c>
      <c r="K147" s="216" t="str">
        <f ca="1">IFERROR(VLOOKUP($I147,'Institution Evaluation'!$A$55:$F$346,3,0),IFERROR(VLOOKUP($I147,'Privacy Analyst Evaluation'!$A$46:$F$120,3,0),""))&amp;""</f>
        <v/>
      </c>
      <c r="L147" s="216" t="str">
        <f ca="1">IFERROR(VLOOKUP($I147,'Institution Evaluation'!$A$55:$F$346,4,0),IFERROR(VLOOKUP($I147,'Privacy Analyst Evaluation'!$A$46:$F$120,4,0),""))&amp;""</f>
        <v/>
      </c>
      <c r="M147" s="216" t="str">
        <f ca="1">IFERROR(VLOOKUP($I147,'Institution Evaluation'!$A$55:$F$346,6,0),IFERROR(VLOOKUP($I147,'Privacy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ht="17">
      <c r="A148" s="216" t="str">
        <f>IFERROR(IF($A147+1&gt;'(backend scoring)'!$T$335,"",$A147+1),"")</f>
        <v/>
      </c>
      <c r="B148" s="216" t="e">
        <f ca="1">_xlfn.XLOOKUP($A148,'(backend scoring)'!$V$2:$V$333,'(backend scoring)'!$A$2:$A$333,"")</f>
        <v>#NAME?</v>
      </c>
      <c r="C148" s="216" t="str">
        <f ca="1">IFERROR(VLOOKUP($B148,'Institution Evaluation'!$A$55:$F$346,2,0),IFERROR(VLOOKUP($B148,'Privacy Analyst Evaluation'!$A$46:$F$120,2,0),""))&amp;""</f>
        <v/>
      </c>
      <c r="D148" s="216" t="str">
        <f ca="1">IFERROR(VLOOKUP($B148,'Institution Evaluation'!$A$55:$F$346,3,0),IFERROR(VLOOKUP($B148,'Privacy Analyst Evaluation'!$A$46:$F$120,3,0),""))&amp;""</f>
        <v/>
      </c>
      <c r="E148" s="216" t="str">
        <f ca="1">IFERROR(VLOOKUP($B148,'Institution Evaluation'!$A$55:$F$346,4,0),IFERROR(VLOOKUP($B148,'Privacy Analyst Evaluation'!$A$46:$F$120,4,0),""))&amp;""</f>
        <v/>
      </c>
      <c r="F148" s="216" t="str">
        <f ca="1">IFERROR(VLOOKUP($B148,'Institution Evaluation'!$A$55:$F$346,6,0),IFERROR(VLOOKUP($B148,'Privacy Analyst Evaluation'!$A$46:$F$120,6,0),""))&amp;""</f>
        <v/>
      </c>
      <c r="G148" s="217"/>
      <c r="H148" s="216" t="str">
        <f>IFERROR(IF($H147+1&gt;'(backend scoring)'!$Q$335,"",$H147+1),"")</f>
        <v/>
      </c>
      <c r="I148" s="216" t="e">
        <f ca="1">_xlfn.XLOOKUP($H148,'(backend scoring)'!$S$2:$S$333,'(backend scoring)'!$A$2:$A$333,"")</f>
        <v>#NAME?</v>
      </c>
      <c r="J148" s="216" t="str">
        <f ca="1">IFERROR(VLOOKUP($I148,'Institution Evaluation'!$A$55:$F$346,2,0),IFERROR(VLOOKUP($I148,'Privacy Analyst Evaluation'!$A$46:$F$120,2,0),""))</f>
        <v/>
      </c>
      <c r="K148" s="216" t="str">
        <f ca="1">IFERROR(VLOOKUP($I148,'Institution Evaluation'!$A$55:$F$346,3,0),IFERROR(VLOOKUP($I148,'Privacy Analyst Evaluation'!$A$46:$F$120,3,0),""))&amp;""</f>
        <v/>
      </c>
      <c r="L148" s="216" t="str">
        <f ca="1">IFERROR(VLOOKUP($I148,'Institution Evaluation'!$A$55:$F$346,4,0),IFERROR(VLOOKUP($I148,'Privacy Analyst Evaluation'!$A$46:$F$120,4,0),""))&amp;""</f>
        <v/>
      </c>
      <c r="M148" s="216" t="str">
        <f ca="1">IFERROR(VLOOKUP($I148,'Institution Evaluation'!$A$55:$F$346,6,0),IFERROR(VLOOKUP($I148,'Privacy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ht="17">
      <c r="A149" s="216" t="str">
        <f>IFERROR(IF($A148+1&gt;'(backend scoring)'!$T$335,"",$A148+1),"")</f>
        <v/>
      </c>
      <c r="B149" s="216" t="e">
        <f ca="1">_xlfn.XLOOKUP($A149,'(backend scoring)'!$V$2:$V$333,'(backend scoring)'!$A$2:$A$333,"")</f>
        <v>#NAME?</v>
      </c>
      <c r="C149" s="216" t="str">
        <f ca="1">IFERROR(VLOOKUP($B149,'Institution Evaluation'!$A$55:$F$346,2,0),IFERROR(VLOOKUP($B149,'Privacy Analyst Evaluation'!$A$46:$F$120,2,0),""))&amp;""</f>
        <v/>
      </c>
      <c r="D149" s="216" t="str">
        <f ca="1">IFERROR(VLOOKUP($B149,'Institution Evaluation'!$A$55:$F$346,3,0),IFERROR(VLOOKUP($B149,'Privacy Analyst Evaluation'!$A$46:$F$120,3,0),""))&amp;""</f>
        <v/>
      </c>
      <c r="E149" s="216" t="str">
        <f ca="1">IFERROR(VLOOKUP($B149,'Institution Evaluation'!$A$55:$F$346,4,0),IFERROR(VLOOKUP($B149,'Privacy Analyst Evaluation'!$A$46:$F$120,4,0),""))&amp;""</f>
        <v/>
      </c>
      <c r="F149" s="216" t="str">
        <f ca="1">IFERROR(VLOOKUP($B149,'Institution Evaluation'!$A$55:$F$346,6,0),IFERROR(VLOOKUP($B149,'Privacy Analyst Evaluation'!$A$46:$F$120,6,0),""))&amp;""</f>
        <v/>
      </c>
      <c r="G149" s="217"/>
      <c r="H149" s="216" t="str">
        <f>IFERROR(IF($H148+1&gt;'(backend scoring)'!$Q$335,"",$H148+1),"")</f>
        <v/>
      </c>
      <c r="I149" s="216" t="e">
        <f ca="1">_xlfn.XLOOKUP($H149,'(backend scoring)'!$S$2:$S$333,'(backend scoring)'!$A$2:$A$333,"")</f>
        <v>#NAME?</v>
      </c>
      <c r="J149" s="216" t="str">
        <f ca="1">IFERROR(VLOOKUP($I149,'Institution Evaluation'!$A$55:$F$346,2,0),IFERROR(VLOOKUP($I149,'Privacy Analyst Evaluation'!$A$46:$F$120,2,0),""))</f>
        <v/>
      </c>
      <c r="K149" s="216" t="str">
        <f ca="1">IFERROR(VLOOKUP($I149,'Institution Evaluation'!$A$55:$F$346,3,0),IFERROR(VLOOKUP($I149,'Privacy Analyst Evaluation'!$A$46:$F$120,3,0),""))&amp;""</f>
        <v/>
      </c>
      <c r="L149" s="216" t="str">
        <f ca="1">IFERROR(VLOOKUP($I149,'Institution Evaluation'!$A$55:$F$346,4,0),IFERROR(VLOOKUP($I149,'Privacy Analyst Evaluation'!$A$46:$F$120,4,0),""))&amp;""</f>
        <v/>
      </c>
      <c r="M149" s="216" t="str">
        <f ca="1">IFERROR(VLOOKUP($I149,'Institution Evaluation'!$A$55:$F$346,6,0),IFERROR(VLOOKUP($I149,'Privacy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ht="17">
      <c r="A150" s="216" t="str">
        <f>IFERROR(IF($A149+1&gt;'(backend scoring)'!$T$335,"",$A149+1),"")</f>
        <v/>
      </c>
      <c r="B150" s="216" t="e">
        <f ca="1">_xlfn.XLOOKUP($A150,'(backend scoring)'!$V$2:$V$333,'(backend scoring)'!$A$2:$A$333,"")</f>
        <v>#NAME?</v>
      </c>
      <c r="C150" s="216" t="str">
        <f ca="1">IFERROR(VLOOKUP($B150,'Institution Evaluation'!$A$55:$F$346,2,0),IFERROR(VLOOKUP($B150,'Privacy Analyst Evaluation'!$A$46:$F$120,2,0),""))&amp;""</f>
        <v/>
      </c>
      <c r="D150" s="216" t="str">
        <f ca="1">IFERROR(VLOOKUP($B150,'Institution Evaluation'!$A$55:$F$346,3,0),IFERROR(VLOOKUP($B150,'Privacy Analyst Evaluation'!$A$46:$F$120,3,0),""))&amp;""</f>
        <v/>
      </c>
      <c r="E150" s="216" t="str">
        <f ca="1">IFERROR(VLOOKUP($B150,'Institution Evaluation'!$A$55:$F$346,4,0),IFERROR(VLOOKUP($B150,'Privacy Analyst Evaluation'!$A$46:$F$120,4,0),""))&amp;""</f>
        <v/>
      </c>
      <c r="F150" s="216" t="str">
        <f ca="1">IFERROR(VLOOKUP($B150,'Institution Evaluation'!$A$55:$F$346,6,0),IFERROR(VLOOKUP($B150,'Privacy Analyst Evaluation'!$A$46:$F$120,6,0),""))&amp;""</f>
        <v/>
      </c>
      <c r="G150" s="217"/>
      <c r="H150" s="216" t="str">
        <f>IFERROR(IF($H149+1&gt;'(backend scoring)'!$Q$335,"",$H149+1),"")</f>
        <v/>
      </c>
      <c r="I150" s="216" t="e">
        <f ca="1">_xlfn.XLOOKUP($H150,'(backend scoring)'!$S$2:$S$333,'(backend scoring)'!$A$2:$A$333,"")</f>
        <v>#NAME?</v>
      </c>
      <c r="J150" s="216" t="str">
        <f ca="1">IFERROR(VLOOKUP($I150,'Institution Evaluation'!$A$55:$F$346,2,0),IFERROR(VLOOKUP($I150,'Privacy Analyst Evaluation'!$A$46:$F$120,2,0),""))</f>
        <v/>
      </c>
      <c r="K150" s="216" t="str">
        <f ca="1">IFERROR(VLOOKUP($I150,'Institution Evaluation'!$A$55:$F$346,3,0),IFERROR(VLOOKUP($I150,'Privacy Analyst Evaluation'!$A$46:$F$120,3,0),""))&amp;""</f>
        <v/>
      </c>
      <c r="L150" s="216" t="str">
        <f ca="1">IFERROR(VLOOKUP($I150,'Institution Evaluation'!$A$55:$F$346,4,0),IFERROR(VLOOKUP($I150,'Privacy Analyst Evaluation'!$A$46:$F$120,4,0),""))&amp;""</f>
        <v/>
      </c>
      <c r="M150" s="216" t="str">
        <f ca="1">IFERROR(VLOOKUP($I150,'Institution Evaluation'!$A$55:$F$346,6,0),IFERROR(VLOOKUP($I150,'Privacy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ht="17">
      <c r="A151" s="216" t="str">
        <f>IFERROR(IF($A150+1&gt;'(backend scoring)'!$T$335,"",$A150+1),"")</f>
        <v/>
      </c>
      <c r="B151" s="216" t="e">
        <f ca="1">_xlfn.XLOOKUP($A151,'(backend scoring)'!$V$2:$V$333,'(backend scoring)'!$A$2:$A$333,"")</f>
        <v>#NAME?</v>
      </c>
      <c r="C151" s="216" t="str">
        <f ca="1">IFERROR(VLOOKUP($B151,'Institution Evaluation'!$A$55:$F$346,2,0),IFERROR(VLOOKUP($B151,'Privacy Analyst Evaluation'!$A$46:$F$120,2,0),""))&amp;""</f>
        <v/>
      </c>
      <c r="D151" s="216" t="str">
        <f ca="1">IFERROR(VLOOKUP($B151,'Institution Evaluation'!$A$55:$F$346,3,0),IFERROR(VLOOKUP($B151,'Privacy Analyst Evaluation'!$A$46:$F$120,3,0),""))&amp;""</f>
        <v/>
      </c>
      <c r="E151" s="216" t="str">
        <f ca="1">IFERROR(VLOOKUP($B151,'Institution Evaluation'!$A$55:$F$346,4,0),IFERROR(VLOOKUP($B151,'Privacy Analyst Evaluation'!$A$46:$F$120,4,0),""))&amp;""</f>
        <v/>
      </c>
      <c r="F151" s="216" t="str">
        <f ca="1">IFERROR(VLOOKUP($B151,'Institution Evaluation'!$A$55:$F$346,6,0),IFERROR(VLOOKUP($B151,'Privacy Analyst Evaluation'!$A$46:$F$120,6,0),""))&amp;""</f>
        <v/>
      </c>
      <c r="G151" s="217"/>
      <c r="H151" s="216" t="str">
        <f>IFERROR(IF($H150+1&gt;'(backend scoring)'!$Q$335,"",$H150+1),"")</f>
        <v/>
      </c>
      <c r="I151" s="216" t="e">
        <f ca="1">_xlfn.XLOOKUP($H151,'(backend scoring)'!$S$2:$S$333,'(backend scoring)'!$A$2:$A$333,"")</f>
        <v>#NAME?</v>
      </c>
      <c r="J151" s="216" t="str">
        <f ca="1">IFERROR(VLOOKUP($I151,'Institution Evaluation'!$A$55:$F$346,2,0),IFERROR(VLOOKUP($I151,'Privacy Analyst Evaluation'!$A$46:$F$120,2,0),""))</f>
        <v/>
      </c>
      <c r="K151" s="216" t="str">
        <f ca="1">IFERROR(VLOOKUP($I151,'Institution Evaluation'!$A$55:$F$346,3,0),IFERROR(VLOOKUP($I151,'Privacy Analyst Evaluation'!$A$46:$F$120,3,0),""))&amp;""</f>
        <v/>
      </c>
      <c r="L151" s="216" t="str">
        <f ca="1">IFERROR(VLOOKUP($I151,'Institution Evaluation'!$A$55:$F$346,4,0),IFERROR(VLOOKUP($I151,'Privacy Analyst Evaluation'!$A$46:$F$120,4,0),""))&amp;""</f>
        <v/>
      </c>
      <c r="M151" s="216" t="str">
        <f ca="1">IFERROR(VLOOKUP($I151,'Institution Evaluation'!$A$55:$F$346,6,0),IFERROR(VLOOKUP($I151,'Privacy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ht="17">
      <c r="A152" s="216" t="str">
        <f>IFERROR(IF($A151+1&gt;'(backend scoring)'!$T$335,"",$A151+1),"")</f>
        <v/>
      </c>
      <c r="B152" s="216" t="e">
        <f ca="1">_xlfn.XLOOKUP($A152,'(backend scoring)'!$V$2:$V$333,'(backend scoring)'!$A$2:$A$333,"")</f>
        <v>#NAME?</v>
      </c>
      <c r="C152" s="216" t="str">
        <f ca="1">IFERROR(VLOOKUP($B152,'Institution Evaluation'!$A$55:$F$346,2,0),IFERROR(VLOOKUP($B152,'Privacy Analyst Evaluation'!$A$46:$F$120,2,0),""))&amp;""</f>
        <v/>
      </c>
      <c r="D152" s="216" t="str">
        <f ca="1">IFERROR(VLOOKUP($B152,'Institution Evaluation'!$A$55:$F$346,3,0),IFERROR(VLOOKUP($B152,'Privacy Analyst Evaluation'!$A$46:$F$120,3,0),""))&amp;""</f>
        <v/>
      </c>
      <c r="E152" s="216" t="str">
        <f ca="1">IFERROR(VLOOKUP($B152,'Institution Evaluation'!$A$55:$F$346,4,0),IFERROR(VLOOKUP($B152,'Privacy Analyst Evaluation'!$A$46:$F$120,4,0),""))&amp;""</f>
        <v/>
      </c>
      <c r="F152" s="216" t="str">
        <f ca="1">IFERROR(VLOOKUP($B152,'Institution Evaluation'!$A$55:$F$346,6,0),IFERROR(VLOOKUP($B152,'Privacy Analyst Evaluation'!$A$46:$F$120,6,0),""))&amp;""</f>
        <v/>
      </c>
      <c r="G152" s="217"/>
      <c r="H152" s="216" t="str">
        <f>IFERROR(IF($H151+1&gt;'(backend scoring)'!$Q$335,"",$H151+1),"")</f>
        <v/>
      </c>
      <c r="I152" s="216" t="e">
        <f ca="1">_xlfn.XLOOKUP($H152,'(backend scoring)'!$S$2:$S$333,'(backend scoring)'!$A$2:$A$333,"")</f>
        <v>#NAME?</v>
      </c>
      <c r="J152" s="216" t="str">
        <f ca="1">IFERROR(VLOOKUP($I152,'Institution Evaluation'!$A$55:$F$346,2,0),IFERROR(VLOOKUP($I152,'Privacy Analyst Evaluation'!$A$46:$F$120,2,0),""))</f>
        <v/>
      </c>
      <c r="K152" s="216" t="str">
        <f ca="1">IFERROR(VLOOKUP($I152,'Institution Evaluation'!$A$55:$F$346,3,0),IFERROR(VLOOKUP($I152,'Privacy Analyst Evaluation'!$A$46:$F$120,3,0),""))&amp;""</f>
        <v/>
      </c>
      <c r="L152" s="216" t="str">
        <f ca="1">IFERROR(VLOOKUP($I152,'Institution Evaluation'!$A$55:$F$346,4,0),IFERROR(VLOOKUP($I152,'Privacy Analyst Evaluation'!$A$46:$F$120,4,0),""))&amp;""</f>
        <v/>
      </c>
      <c r="M152" s="216" t="str">
        <f ca="1">IFERROR(VLOOKUP($I152,'Institution Evaluation'!$A$55:$F$346,6,0),IFERROR(VLOOKUP($I152,'Privacy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ht="17">
      <c r="A153" s="216" t="str">
        <f>IFERROR(IF($A152+1&gt;'(backend scoring)'!$T$335,"",$A152+1),"")</f>
        <v/>
      </c>
      <c r="B153" s="216" t="e">
        <f ca="1">_xlfn.XLOOKUP($A153,'(backend scoring)'!$V$2:$V$333,'(backend scoring)'!$A$2:$A$333,"")</f>
        <v>#NAME?</v>
      </c>
      <c r="C153" s="216" t="str">
        <f ca="1">IFERROR(VLOOKUP($B153,'Institution Evaluation'!$A$55:$F$346,2,0),IFERROR(VLOOKUP($B153,'Privacy Analyst Evaluation'!$A$46:$F$120,2,0),""))&amp;""</f>
        <v/>
      </c>
      <c r="D153" s="216" t="str">
        <f ca="1">IFERROR(VLOOKUP($B153,'Institution Evaluation'!$A$55:$F$346,3,0),IFERROR(VLOOKUP($B153,'Privacy Analyst Evaluation'!$A$46:$F$120,3,0),""))&amp;""</f>
        <v/>
      </c>
      <c r="E153" s="216" t="str">
        <f ca="1">IFERROR(VLOOKUP($B153,'Institution Evaluation'!$A$55:$F$346,4,0),IFERROR(VLOOKUP($B153,'Privacy Analyst Evaluation'!$A$46:$F$120,4,0),""))&amp;""</f>
        <v/>
      </c>
      <c r="F153" s="216" t="str">
        <f ca="1">IFERROR(VLOOKUP($B153,'Institution Evaluation'!$A$55:$F$346,6,0),IFERROR(VLOOKUP($B153,'Privacy Analyst Evaluation'!$A$46:$F$120,6,0),""))&amp;""</f>
        <v/>
      </c>
      <c r="G153" s="217"/>
      <c r="H153" s="216" t="str">
        <f>IFERROR(IF($H152+1&gt;'(backend scoring)'!$Q$335,"",$H152+1),"")</f>
        <v/>
      </c>
      <c r="I153" s="216" t="e">
        <f ca="1">_xlfn.XLOOKUP($H153,'(backend scoring)'!$S$2:$S$333,'(backend scoring)'!$A$2:$A$333,"")</f>
        <v>#NAME?</v>
      </c>
      <c r="J153" s="216" t="str">
        <f ca="1">IFERROR(VLOOKUP($I153,'Institution Evaluation'!$A$55:$F$346,2,0),IFERROR(VLOOKUP($I153,'Privacy Analyst Evaluation'!$A$46:$F$120,2,0),""))</f>
        <v/>
      </c>
      <c r="K153" s="216" t="str">
        <f ca="1">IFERROR(VLOOKUP($I153,'Institution Evaluation'!$A$55:$F$346,3,0),IFERROR(VLOOKUP($I153,'Privacy Analyst Evaluation'!$A$46:$F$120,3,0),""))&amp;""</f>
        <v/>
      </c>
      <c r="L153" s="216" t="str">
        <f ca="1">IFERROR(VLOOKUP($I153,'Institution Evaluation'!$A$55:$F$346,4,0),IFERROR(VLOOKUP($I153,'Privacy Analyst Evaluation'!$A$46:$F$120,4,0),""))&amp;""</f>
        <v/>
      </c>
      <c r="M153" s="216" t="str">
        <f ca="1">IFERROR(VLOOKUP($I153,'Institution Evaluation'!$A$55:$F$346,6,0),IFERROR(VLOOKUP($I153,'Privacy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ht="17">
      <c r="A154" s="216" t="str">
        <f>IFERROR(IF($A153+1&gt;'(backend scoring)'!$T$335,"",$A153+1),"")</f>
        <v/>
      </c>
      <c r="B154" s="216" t="e">
        <f ca="1">_xlfn.XLOOKUP($A154,'(backend scoring)'!$V$2:$V$333,'(backend scoring)'!$A$2:$A$333,"")</f>
        <v>#NAME?</v>
      </c>
      <c r="C154" s="216" t="str">
        <f ca="1">IFERROR(VLOOKUP($B154,'Institution Evaluation'!$A$55:$F$346,2,0),IFERROR(VLOOKUP($B154,'Privacy Analyst Evaluation'!$A$46:$F$120,2,0),""))&amp;""</f>
        <v/>
      </c>
      <c r="D154" s="216" t="str">
        <f ca="1">IFERROR(VLOOKUP($B154,'Institution Evaluation'!$A$55:$F$346,3,0),IFERROR(VLOOKUP($B154,'Privacy Analyst Evaluation'!$A$46:$F$120,3,0),""))&amp;""</f>
        <v/>
      </c>
      <c r="E154" s="216" t="str">
        <f ca="1">IFERROR(VLOOKUP($B154,'Institution Evaluation'!$A$55:$F$346,4,0),IFERROR(VLOOKUP($B154,'Privacy Analyst Evaluation'!$A$46:$F$120,4,0),""))&amp;""</f>
        <v/>
      </c>
      <c r="F154" s="216" t="str">
        <f ca="1">IFERROR(VLOOKUP($B154,'Institution Evaluation'!$A$55:$F$346,6,0),IFERROR(VLOOKUP($B154,'Privacy Analyst Evaluation'!$A$46:$F$120,6,0),""))&amp;""</f>
        <v/>
      </c>
      <c r="G154" s="217"/>
      <c r="H154" s="216" t="str">
        <f>IFERROR(IF($H153+1&gt;'(backend scoring)'!$Q$335,"",$H153+1),"")</f>
        <v/>
      </c>
      <c r="I154" s="216" t="e">
        <f ca="1">_xlfn.XLOOKUP($H154,'(backend scoring)'!$S$2:$S$333,'(backend scoring)'!$A$2:$A$333,"")</f>
        <v>#NAME?</v>
      </c>
      <c r="J154" s="216" t="str">
        <f ca="1">IFERROR(VLOOKUP($I154,'Institution Evaluation'!$A$55:$F$346,2,0),IFERROR(VLOOKUP($I154,'Privacy Analyst Evaluation'!$A$46:$F$120,2,0),""))</f>
        <v/>
      </c>
      <c r="K154" s="216" t="str">
        <f ca="1">IFERROR(VLOOKUP($I154,'Institution Evaluation'!$A$55:$F$346,3,0),IFERROR(VLOOKUP($I154,'Privacy Analyst Evaluation'!$A$46:$F$120,3,0),""))&amp;""</f>
        <v/>
      </c>
      <c r="L154" s="216" t="str">
        <f ca="1">IFERROR(VLOOKUP($I154,'Institution Evaluation'!$A$55:$F$346,4,0),IFERROR(VLOOKUP($I154,'Privacy Analyst Evaluation'!$A$46:$F$120,4,0),""))&amp;""</f>
        <v/>
      </c>
      <c r="M154" s="216" t="str">
        <f ca="1">IFERROR(VLOOKUP($I154,'Institution Evaluation'!$A$55:$F$346,6,0),IFERROR(VLOOKUP($I154,'Privacy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ht="17">
      <c r="A155" s="216" t="str">
        <f>IFERROR(IF($A154+1&gt;'(backend scoring)'!$T$335,"",$A154+1),"")</f>
        <v/>
      </c>
      <c r="B155" s="216" t="e">
        <f ca="1">_xlfn.XLOOKUP($A155,'(backend scoring)'!$V$2:$V$333,'(backend scoring)'!$A$2:$A$333,"")</f>
        <v>#NAME?</v>
      </c>
      <c r="C155" s="216" t="str">
        <f ca="1">IFERROR(VLOOKUP($B155,'Institution Evaluation'!$A$55:$F$346,2,0),IFERROR(VLOOKUP($B155,'Privacy Analyst Evaluation'!$A$46:$F$120,2,0),""))&amp;""</f>
        <v/>
      </c>
      <c r="D155" s="216" t="str">
        <f ca="1">IFERROR(VLOOKUP($B155,'Institution Evaluation'!$A$55:$F$346,3,0),IFERROR(VLOOKUP($B155,'Privacy Analyst Evaluation'!$A$46:$F$120,3,0),""))&amp;""</f>
        <v/>
      </c>
      <c r="E155" s="216" t="str">
        <f ca="1">IFERROR(VLOOKUP($B155,'Institution Evaluation'!$A$55:$F$346,4,0),IFERROR(VLOOKUP($B155,'Privacy Analyst Evaluation'!$A$46:$F$120,4,0),""))&amp;""</f>
        <v/>
      </c>
      <c r="F155" s="216" t="str">
        <f ca="1">IFERROR(VLOOKUP($B155,'Institution Evaluation'!$A$55:$F$346,6,0),IFERROR(VLOOKUP($B155,'Privacy Analyst Evaluation'!$A$46:$F$120,6,0),""))&amp;""</f>
        <v/>
      </c>
      <c r="G155" s="217"/>
      <c r="H155" s="216" t="str">
        <f>IFERROR(IF($H154+1&gt;'(backend scoring)'!$Q$335,"",$H154+1),"")</f>
        <v/>
      </c>
      <c r="I155" s="216" t="e">
        <f ca="1">_xlfn.XLOOKUP($H155,'(backend scoring)'!$S$2:$S$333,'(backend scoring)'!$A$2:$A$333,"")</f>
        <v>#NAME?</v>
      </c>
      <c r="J155" s="216" t="str">
        <f ca="1">IFERROR(VLOOKUP($I155,'Institution Evaluation'!$A$55:$F$346,2,0),IFERROR(VLOOKUP($I155,'Privacy Analyst Evaluation'!$A$46:$F$120,2,0),""))</f>
        <v/>
      </c>
      <c r="K155" s="216" t="str">
        <f ca="1">IFERROR(VLOOKUP($I155,'Institution Evaluation'!$A$55:$F$346,3,0),IFERROR(VLOOKUP($I155,'Privacy Analyst Evaluation'!$A$46:$F$120,3,0),""))&amp;""</f>
        <v/>
      </c>
      <c r="L155" s="216" t="str">
        <f ca="1">IFERROR(VLOOKUP($I155,'Institution Evaluation'!$A$55:$F$346,4,0),IFERROR(VLOOKUP($I155,'Privacy Analyst Evaluation'!$A$46:$F$120,4,0),""))&amp;""</f>
        <v/>
      </c>
      <c r="M155" s="216" t="str">
        <f ca="1">IFERROR(VLOOKUP($I155,'Institution Evaluation'!$A$55:$F$346,6,0),IFERROR(VLOOKUP($I155,'Privacy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ht="17">
      <c r="A156" s="216" t="str">
        <f>IFERROR(IF($A155+1&gt;'(backend scoring)'!$T$335,"",$A155+1),"")</f>
        <v/>
      </c>
      <c r="B156" s="216" t="e">
        <f ca="1">_xlfn.XLOOKUP($A156,'(backend scoring)'!$V$2:$V$333,'(backend scoring)'!$A$2:$A$333,"")</f>
        <v>#NAME?</v>
      </c>
      <c r="C156" s="216" t="str">
        <f ca="1">IFERROR(VLOOKUP($B156,'Institution Evaluation'!$A$55:$F$346,2,0),IFERROR(VLOOKUP($B156,'Privacy Analyst Evaluation'!$A$46:$F$120,2,0),""))&amp;""</f>
        <v/>
      </c>
      <c r="D156" s="216" t="str">
        <f ca="1">IFERROR(VLOOKUP($B156,'Institution Evaluation'!$A$55:$F$346,3,0),IFERROR(VLOOKUP($B156,'Privacy Analyst Evaluation'!$A$46:$F$120,3,0),""))&amp;""</f>
        <v/>
      </c>
      <c r="E156" s="216" t="str">
        <f ca="1">IFERROR(VLOOKUP($B156,'Institution Evaluation'!$A$55:$F$346,4,0),IFERROR(VLOOKUP($B156,'Privacy Analyst Evaluation'!$A$46:$F$120,4,0),""))&amp;""</f>
        <v/>
      </c>
      <c r="F156" s="216" t="str">
        <f ca="1">IFERROR(VLOOKUP($B156,'Institution Evaluation'!$A$55:$F$346,6,0),IFERROR(VLOOKUP($B156,'Privacy Analyst Evaluation'!$A$46:$F$120,6,0),""))&amp;""</f>
        <v/>
      </c>
      <c r="G156" s="217"/>
      <c r="H156" s="216" t="str">
        <f>IFERROR(IF($H155+1&gt;'(backend scoring)'!$Q$335,"",$H155+1),"")</f>
        <v/>
      </c>
      <c r="I156" s="216" t="e">
        <f ca="1">_xlfn.XLOOKUP($H156,'(backend scoring)'!$S$2:$S$333,'(backend scoring)'!$A$2:$A$333,"")</f>
        <v>#NAME?</v>
      </c>
      <c r="J156" s="216" t="str">
        <f ca="1">IFERROR(VLOOKUP($I156,'Institution Evaluation'!$A$55:$F$346,2,0),IFERROR(VLOOKUP($I156,'Privacy Analyst Evaluation'!$A$46:$F$120,2,0),""))</f>
        <v/>
      </c>
      <c r="K156" s="216" t="str">
        <f ca="1">IFERROR(VLOOKUP($I156,'Institution Evaluation'!$A$55:$F$346,3,0),IFERROR(VLOOKUP($I156,'Privacy Analyst Evaluation'!$A$46:$F$120,3,0),""))&amp;""</f>
        <v/>
      </c>
      <c r="L156" s="216" t="str">
        <f ca="1">IFERROR(VLOOKUP($I156,'Institution Evaluation'!$A$55:$F$346,4,0),IFERROR(VLOOKUP($I156,'Privacy Analyst Evaluation'!$A$46:$F$120,4,0),""))&amp;""</f>
        <v/>
      </c>
      <c r="M156" s="216" t="str">
        <f ca="1">IFERROR(VLOOKUP($I156,'Institution Evaluation'!$A$55:$F$346,6,0),IFERROR(VLOOKUP($I156,'Privacy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ht="17">
      <c r="A157" s="216" t="str">
        <f>IFERROR(IF($A156+1&gt;'(backend scoring)'!$T$335,"",$A156+1),"")</f>
        <v/>
      </c>
      <c r="B157" s="216" t="e">
        <f ca="1">_xlfn.XLOOKUP($A157,'(backend scoring)'!$V$2:$V$333,'(backend scoring)'!$A$2:$A$333,"")</f>
        <v>#NAME?</v>
      </c>
      <c r="C157" s="216" t="str">
        <f ca="1">IFERROR(VLOOKUP($B157,'Institution Evaluation'!$A$55:$F$346,2,0),IFERROR(VLOOKUP($B157,'Privacy Analyst Evaluation'!$A$46:$F$120,2,0),""))&amp;""</f>
        <v/>
      </c>
      <c r="D157" s="216" t="str">
        <f ca="1">IFERROR(VLOOKUP($B157,'Institution Evaluation'!$A$55:$F$346,3,0),IFERROR(VLOOKUP($B157,'Privacy Analyst Evaluation'!$A$46:$F$120,3,0),""))&amp;""</f>
        <v/>
      </c>
      <c r="E157" s="216" t="str">
        <f ca="1">IFERROR(VLOOKUP($B157,'Institution Evaluation'!$A$55:$F$346,4,0),IFERROR(VLOOKUP($B157,'Privacy Analyst Evaluation'!$A$46:$F$120,4,0),""))&amp;""</f>
        <v/>
      </c>
      <c r="F157" s="216" t="str">
        <f ca="1">IFERROR(VLOOKUP($B157,'Institution Evaluation'!$A$55:$F$346,6,0),IFERROR(VLOOKUP($B157,'Privacy Analyst Evaluation'!$A$46:$F$120,6,0),""))&amp;""</f>
        <v/>
      </c>
      <c r="G157" s="217"/>
      <c r="H157" s="216" t="str">
        <f>IFERROR(IF($H156+1&gt;'(backend scoring)'!$Q$335,"",$H156+1),"")</f>
        <v/>
      </c>
      <c r="I157" s="216" t="e">
        <f ca="1">_xlfn.XLOOKUP($H157,'(backend scoring)'!$S$2:$S$333,'(backend scoring)'!$A$2:$A$333,"")</f>
        <v>#NAME?</v>
      </c>
      <c r="J157" s="216" t="str">
        <f ca="1">IFERROR(VLOOKUP($I157,'Institution Evaluation'!$A$55:$F$346,2,0),IFERROR(VLOOKUP($I157,'Privacy Analyst Evaluation'!$A$46:$F$120,2,0),""))</f>
        <v/>
      </c>
      <c r="K157" s="216" t="str">
        <f ca="1">IFERROR(VLOOKUP($I157,'Institution Evaluation'!$A$55:$F$346,3,0),IFERROR(VLOOKUP($I157,'Privacy Analyst Evaluation'!$A$46:$F$120,3,0),""))&amp;""</f>
        <v/>
      </c>
      <c r="L157" s="216" t="str">
        <f ca="1">IFERROR(VLOOKUP($I157,'Institution Evaluation'!$A$55:$F$346,4,0),IFERROR(VLOOKUP($I157,'Privacy Analyst Evaluation'!$A$46:$F$120,4,0),""))&amp;""</f>
        <v/>
      </c>
      <c r="M157" s="216" t="str">
        <f ca="1">IFERROR(VLOOKUP($I157,'Institution Evaluation'!$A$55:$F$346,6,0),IFERROR(VLOOKUP($I157,'Privacy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ht="17">
      <c r="A158" s="216" t="str">
        <f>IFERROR(IF($A157+1&gt;'(backend scoring)'!$T$335,"",$A157+1),"")</f>
        <v/>
      </c>
      <c r="B158" s="216" t="e">
        <f ca="1">_xlfn.XLOOKUP($A158,'(backend scoring)'!$V$2:$V$333,'(backend scoring)'!$A$2:$A$333,"")</f>
        <v>#NAME?</v>
      </c>
      <c r="C158" s="216" t="str">
        <f ca="1">IFERROR(VLOOKUP($B158,'Institution Evaluation'!$A$55:$F$346,2,0),IFERROR(VLOOKUP($B158,'Privacy Analyst Evaluation'!$A$46:$F$120,2,0),""))&amp;""</f>
        <v/>
      </c>
      <c r="D158" s="216" t="str">
        <f ca="1">IFERROR(VLOOKUP($B158,'Institution Evaluation'!$A$55:$F$346,3,0),IFERROR(VLOOKUP($B158,'Privacy Analyst Evaluation'!$A$46:$F$120,3,0),""))&amp;""</f>
        <v/>
      </c>
      <c r="E158" s="216" t="str">
        <f ca="1">IFERROR(VLOOKUP($B158,'Institution Evaluation'!$A$55:$F$346,4,0),IFERROR(VLOOKUP($B158,'Privacy Analyst Evaluation'!$A$46:$F$120,4,0),""))&amp;""</f>
        <v/>
      </c>
      <c r="F158" s="216" t="str">
        <f ca="1">IFERROR(VLOOKUP($B158,'Institution Evaluation'!$A$55:$F$346,6,0),IFERROR(VLOOKUP($B158,'Privacy Analyst Evaluation'!$A$46:$F$120,6,0),""))&amp;""</f>
        <v/>
      </c>
      <c r="G158" s="217"/>
      <c r="H158" s="216" t="str">
        <f>IFERROR(IF($H157+1&gt;'(backend scoring)'!$Q$335,"",$H157+1),"")</f>
        <v/>
      </c>
      <c r="I158" s="216" t="e">
        <f ca="1">_xlfn.XLOOKUP($H158,'(backend scoring)'!$S$2:$S$333,'(backend scoring)'!$A$2:$A$333,"")</f>
        <v>#NAME?</v>
      </c>
      <c r="J158" s="216" t="str">
        <f ca="1">IFERROR(VLOOKUP($I158,'Institution Evaluation'!$A$55:$F$346,2,0),IFERROR(VLOOKUP($I158,'Privacy Analyst Evaluation'!$A$46:$F$120,2,0),""))</f>
        <v/>
      </c>
      <c r="K158" s="216" t="str">
        <f ca="1">IFERROR(VLOOKUP($I158,'Institution Evaluation'!$A$55:$F$346,3,0),IFERROR(VLOOKUP($I158,'Privacy Analyst Evaluation'!$A$46:$F$120,3,0),""))&amp;""</f>
        <v/>
      </c>
      <c r="L158" s="216" t="str">
        <f ca="1">IFERROR(VLOOKUP($I158,'Institution Evaluation'!$A$55:$F$346,4,0),IFERROR(VLOOKUP($I158,'Privacy Analyst Evaluation'!$A$46:$F$120,4,0),""))&amp;""</f>
        <v/>
      </c>
      <c r="M158" s="216" t="str">
        <f ca="1">IFERROR(VLOOKUP($I158,'Institution Evaluation'!$A$55:$F$346,6,0),IFERROR(VLOOKUP($I158,'Privacy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ht="17">
      <c r="A159" s="216" t="str">
        <f>IFERROR(IF($A158+1&gt;'(backend scoring)'!$T$335,"",$A158+1),"")</f>
        <v/>
      </c>
      <c r="B159" s="216" t="e">
        <f ca="1">_xlfn.XLOOKUP($A159,'(backend scoring)'!$V$2:$V$333,'(backend scoring)'!$A$2:$A$333,"")</f>
        <v>#NAME?</v>
      </c>
      <c r="C159" s="216" t="str">
        <f ca="1">IFERROR(VLOOKUP($B159,'Institution Evaluation'!$A$55:$F$346,2,0),IFERROR(VLOOKUP($B159,'Privacy Analyst Evaluation'!$A$46:$F$120,2,0),""))&amp;""</f>
        <v/>
      </c>
      <c r="D159" s="216" t="str">
        <f ca="1">IFERROR(VLOOKUP($B159,'Institution Evaluation'!$A$55:$F$346,3,0),IFERROR(VLOOKUP($B159,'Privacy Analyst Evaluation'!$A$46:$F$120,3,0),""))&amp;""</f>
        <v/>
      </c>
      <c r="E159" s="216" t="str">
        <f ca="1">IFERROR(VLOOKUP($B159,'Institution Evaluation'!$A$55:$F$346,4,0),IFERROR(VLOOKUP($B159,'Privacy Analyst Evaluation'!$A$46:$F$120,4,0),""))&amp;""</f>
        <v/>
      </c>
      <c r="F159" s="216" t="str">
        <f ca="1">IFERROR(VLOOKUP($B159,'Institution Evaluation'!$A$55:$F$346,6,0),IFERROR(VLOOKUP($B159,'Privacy Analyst Evaluation'!$A$46:$F$120,6,0),""))&amp;""</f>
        <v/>
      </c>
      <c r="G159" s="217"/>
      <c r="H159" s="216" t="str">
        <f>IFERROR(IF($H158+1&gt;'(backend scoring)'!$Q$335,"",$H158+1),"")</f>
        <v/>
      </c>
      <c r="I159" s="216" t="e">
        <f ca="1">_xlfn.XLOOKUP($H159,'(backend scoring)'!$S$2:$S$333,'(backend scoring)'!$A$2:$A$333,"")</f>
        <v>#NAME?</v>
      </c>
      <c r="J159" s="216" t="str">
        <f ca="1">IFERROR(VLOOKUP($I159,'Institution Evaluation'!$A$55:$F$346,2,0),IFERROR(VLOOKUP($I159,'Privacy Analyst Evaluation'!$A$46:$F$120,2,0),""))</f>
        <v/>
      </c>
      <c r="K159" s="216" t="str">
        <f ca="1">IFERROR(VLOOKUP($I159,'Institution Evaluation'!$A$55:$F$346,3,0),IFERROR(VLOOKUP($I159,'Privacy Analyst Evaluation'!$A$46:$F$120,3,0),""))&amp;""</f>
        <v/>
      </c>
      <c r="L159" s="216" t="str">
        <f ca="1">IFERROR(VLOOKUP($I159,'Institution Evaluation'!$A$55:$F$346,4,0),IFERROR(VLOOKUP($I159,'Privacy Analyst Evaluation'!$A$46:$F$120,4,0),""))&amp;""</f>
        <v/>
      </c>
      <c r="M159" s="216" t="str">
        <f ca="1">IFERROR(VLOOKUP($I159,'Institution Evaluation'!$A$55:$F$346,6,0),IFERROR(VLOOKUP($I159,'Privacy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ht="17">
      <c r="A160" s="216" t="str">
        <f>IFERROR(IF($A159+1&gt;'(backend scoring)'!$T$335,"",$A159+1),"")</f>
        <v/>
      </c>
      <c r="B160" s="216" t="e">
        <f ca="1">_xlfn.XLOOKUP($A160,'(backend scoring)'!$V$2:$V$333,'(backend scoring)'!$A$2:$A$333,"")</f>
        <v>#NAME?</v>
      </c>
      <c r="C160" s="216" t="str">
        <f ca="1">IFERROR(VLOOKUP($B160,'Institution Evaluation'!$A$55:$F$346,2,0),IFERROR(VLOOKUP($B160,'Privacy Analyst Evaluation'!$A$46:$F$120,2,0),""))&amp;""</f>
        <v/>
      </c>
      <c r="D160" s="216" t="str">
        <f ca="1">IFERROR(VLOOKUP($B160,'Institution Evaluation'!$A$55:$F$346,3,0),IFERROR(VLOOKUP($B160,'Privacy Analyst Evaluation'!$A$46:$F$120,3,0),""))&amp;""</f>
        <v/>
      </c>
      <c r="E160" s="216" t="str">
        <f ca="1">IFERROR(VLOOKUP($B160,'Institution Evaluation'!$A$55:$F$346,4,0),IFERROR(VLOOKUP($B160,'Privacy Analyst Evaluation'!$A$46:$F$120,4,0),""))&amp;""</f>
        <v/>
      </c>
      <c r="F160" s="216" t="str">
        <f ca="1">IFERROR(VLOOKUP($B160,'Institution Evaluation'!$A$55:$F$346,6,0),IFERROR(VLOOKUP($B160,'Privacy Analyst Evaluation'!$A$46:$F$120,6,0),""))&amp;""</f>
        <v/>
      </c>
      <c r="G160" s="217"/>
      <c r="H160" s="216" t="str">
        <f>IFERROR(IF($H159+1&gt;'(backend scoring)'!$Q$335,"",$H159+1),"")</f>
        <v/>
      </c>
      <c r="I160" s="216" t="e">
        <f ca="1">_xlfn.XLOOKUP($H160,'(backend scoring)'!$S$2:$S$333,'(backend scoring)'!$A$2:$A$333,"")</f>
        <v>#NAME?</v>
      </c>
      <c r="J160" s="216" t="str">
        <f ca="1">IFERROR(VLOOKUP($I160,'Institution Evaluation'!$A$55:$F$346,2,0),IFERROR(VLOOKUP($I160,'Privacy Analyst Evaluation'!$A$46:$F$120,2,0),""))</f>
        <v/>
      </c>
      <c r="K160" s="216" t="str">
        <f ca="1">IFERROR(VLOOKUP($I160,'Institution Evaluation'!$A$55:$F$346,3,0),IFERROR(VLOOKUP($I160,'Privacy Analyst Evaluation'!$A$46:$F$120,3,0),""))&amp;""</f>
        <v/>
      </c>
      <c r="L160" s="216" t="str">
        <f ca="1">IFERROR(VLOOKUP($I160,'Institution Evaluation'!$A$55:$F$346,4,0),IFERROR(VLOOKUP($I160,'Privacy Analyst Evaluation'!$A$46:$F$120,4,0),""))&amp;""</f>
        <v/>
      </c>
      <c r="M160" s="216" t="str">
        <f ca="1">IFERROR(VLOOKUP($I160,'Institution Evaluation'!$A$55:$F$346,6,0),IFERROR(VLOOKUP($I160,'Privacy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ht="17">
      <c r="A161" s="216" t="str">
        <f>IFERROR(IF($A160+1&gt;'(backend scoring)'!$T$335,"",$A160+1),"")</f>
        <v/>
      </c>
      <c r="B161" s="216" t="e">
        <f ca="1">_xlfn.XLOOKUP($A161,'(backend scoring)'!$V$2:$V$333,'(backend scoring)'!$A$2:$A$333,"")</f>
        <v>#NAME?</v>
      </c>
      <c r="C161" s="216" t="str">
        <f ca="1">IFERROR(VLOOKUP($B161,'Institution Evaluation'!$A$55:$F$346,2,0),IFERROR(VLOOKUP($B161,'Privacy Analyst Evaluation'!$A$46:$F$120,2,0),""))&amp;""</f>
        <v/>
      </c>
      <c r="D161" s="216" t="str">
        <f ca="1">IFERROR(VLOOKUP($B161,'Institution Evaluation'!$A$55:$F$346,3,0),IFERROR(VLOOKUP($B161,'Privacy Analyst Evaluation'!$A$46:$F$120,3,0),""))&amp;""</f>
        <v/>
      </c>
      <c r="E161" s="216" t="str">
        <f ca="1">IFERROR(VLOOKUP($B161,'Institution Evaluation'!$A$55:$F$346,4,0),IFERROR(VLOOKUP($B161,'Privacy Analyst Evaluation'!$A$46:$F$120,4,0),""))&amp;""</f>
        <v/>
      </c>
      <c r="F161" s="216" t="str">
        <f ca="1">IFERROR(VLOOKUP($B161,'Institution Evaluation'!$A$55:$F$346,6,0),IFERROR(VLOOKUP($B161,'Privacy Analyst Evaluation'!$A$46:$F$120,6,0),""))&amp;""</f>
        <v/>
      </c>
      <c r="G161" s="217"/>
      <c r="H161" s="216" t="str">
        <f>IFERROR(IF($H160+1&gt;'(backend scoring)'!$Q$335,"",$H160+1),"")</f>
        <v/>
      </c>
      <c r="I161" s="216" t="e">
        <f ca="1">_xlfn.XLOOKUP($H161,'(backend scoring)'!$S$2:$S$333,'(backend scoring)'!$A$2:$A$333,"")</f>
        <v>#NAME?</v>
      </c>
      <c r="J161" s="216" t="str">
        <f ca="1">IFERROR(VLOOKUP($I161,'Institution Evaluation'!$A$55:$F$346,2,0),IFERROR(VLOOKUP($I161,'Privacy Analyst Evaluation'!$A$46:$F$120,2,0),""))</f>
        <v/>
      </c>
      <c r="K161" s="216" t="str">
        <f ca="1">IFERROR(VLOOKUP($I161,'Institution Evaluation'!$A$55:$F$346,3,0),IFERROR(VLOOKUP($I161,'Privacy Analyst Evaluation'!$A$46:$F$120,3,0),""))&amp;""</f>
        <v/>
      </c>
      <c r="L161" s="216" t="str">
        <f ca="1">IFERROR(VLOOKUP($I161,'Institution Evaluation'!$A$55:$F$346,4,0),IFERROR(VLOOKUP($I161,'Privacy Analyst Evaluation'!$A$46:$F$120,4,0),""))&amp;""</f>
        <v/>
      </c>
      <c r="M161" s="216" t="str">
        <f ca="1">IFERROR(VLOOKUP($I161,'Institution Evaluation'!$A$55:$F$346,6,0),IFERROR(VLOOKUP($I161,'Privacy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ht="17">
      <c r="A162" s="216" t="str">
        <f>IFERROR(IF($A161+1&gt;'(backend scoring)'!$T$335,"",$A161+1),"")</f>
        <v/>
      </c>
      <c r="B162" s="216" t="e">
        <f ca="1">_xlfn.XLOOKUP($A162,'(backend scoring)'!$V$2:$V$333,'(backend scoring)'!$A$2:$A$333,"")</f>
        <v>#NAME?</v>
      </c>
      <c r="C162" s="216" t="str">
        <f ca="1">IFERROR(VLOOKUP($B162,'Institution Evaluation'!$A$55:$F$346,2,0),IFERROR(VLOOKUP($B162,'Privacy Analyst Evaluation'!$A$46:$F$120,2,0),""))&amp;""</f>
        <v/>
      </c>
      <c r="D162" s="216" t="str">
        <f ca="1">IFERROR(VLOOKUP($B162,'Institution Evaluation'!$A$55:$F$346,3,0),IFERROR(VLOOKUP($B162,'Privacy Analyst Evaluation'!$A$46:$F$120,3,0),""))&amp;""</f>
        <v/>
      </c>
      <c r="E162" s="216" t="str">
        <f ca="1">IFERROR(VLOOKUP($B162,'Institution Evaluation'!$A$55:$F$346,4,0),IFERROR(VLOOKUP($B162,'Privacy Analyst Evaluation'!$A$46:$F$120,4,0),""))&amp;""</f>
        <v/>
      </c>
      <c r="F162" s="216" t="str">
        <f ca="1">IFERROR(VLOOKUP($B162,'Institution Evaluation'!$A$55:$F$346,6,0),IFERROR(VLOOKUP($B162,'Privacy Analyst Evaluation'!$A$46:$F$120,6,0),""))&amp;""</f>
        <v/>
      </c>
      <c r="G162" s="217"/>
      <c r="H162" s="216" t="str">
        <f>IFERROR(IF($H161+1&gt;'(backend scoring)'!$Q$335,"",$H161+1),"")</f>
        <v/>
      </c>
      <c r="I162" s="216" t="e">
        <f ca="1">_xlfn.XLOOKUP($H162,'(backend scoring)'!$S$2:$S$333,'(backend scoring)'!$A$2:$A$333,"")</f>
        <v>#NAME?</v>
      </c>
      <c r="J162" s="216" t="str">
        <f ca="1">IFERROR(VLOOKUP($I162,'Institution Evaluation'!$A$55:$F$346,2,0),IFERROR(VLOOKUP($I162,'Privacy Analyst Evaluation'!$A$46:$F$120,2,0),""))</f>
        <v/>
      </c>
      <c r="K162" s="216" t="str">
        <f ca="1">IFERROR(VLOOKUP($I162,'Institution Evaluation'!$A$55:$F$346,3,0),IFERROR(VLOOKUP($I162,'Privacy Analyst Evaluation'!$A$46:$F$120,3,0),""))&amp;""</f>
        <v/>
      </c>
      <c r="L162" s="216" t="str">
        <f ca="1">IFERROR(VLOOKUP($I162,'Institution Evaluation'!$A$55:$F$346,4,0),IFERROR(VLOOKUP($I162,'Privacy Analyst Evaluation'!$A$46:$F$120,4,0),""))&amp;""</f>
        <v/>
      </c>
      <c r="M162" s="216" t="str">
        <f ca="1">IFERROR(VLOOKUP($I162,'Institution Evaluation'!$A$55:$F$346,6,0),IFERROR(VLOOKUP($I162,'Privacy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ht="17">
      <c r="A163" s="216" t="str">
        <f>IFERROR(IF($A162+1&gt;'(backend scoring)'!$T$335,"",$A162+1),"")</f>
        <v/>
      </c>
      <c r="B163" s="216" t="e">
        <f ca="1">_xlfn.XLOOKUP($A163,'(backend scoring)'!$V$2:$V$333,'(backend scoring)'!$A$2:$A$333,"")</f>
        <v>#NAME?</v>
      </c>
      <c r="C163" s="216" t="str">
        <f ca="1">IFERROR(VLOOKUP($B163,'Institution Evaluation'!$A$55:$F$346,2,0),IFERROR(VLOOKUP($B163,'Privacy Analyst Evaluation'!$A$46:$F$120,2,0),""))&amp;""</f>
        <v/>
      </c>
      <c r="D163" s="216" t="str">
        <f ca="1">IFERROR(VLOOKUP($B163,'Institution Evaluation'!$A$55:$F$346,3,0),IFERROR(VLOOKUP($B163,'Privacy Analyst Evaluation'!$A$46:$F$120,3,0),""))&amp;""</f>
        <v/>
      </c>
      <c r="E163" s="216" t="str">
        <f ca="1">IFERROR(VLOOKUP($B163,'Institution Evaluation'!$A$55:$F$346,4,0),IFERROR(VLOOKUP($B163,'Privacy Analyst Evaluation'!$A$46:$F$120,4,0),""))&amp;""</f>
        <v/>
      </c>
      <c r="F163" s="216" t="str">
        <f ca="1">IFERROR(VLOOKUP($B163,'Institution Evaluation'!$A$55:$F$346,6,0),IFERROR(VLOOKUP($B163,'Privacy Analyst Evaluation'!$A$46:$F$120,6,0),""))&amp;""</f>
        <v/>
      </c>
      <c r="G163" s="217"/>
      <c r="H163" s="216" t="str">
        <f>IFERROR(IF($H162+1&gt;'(backend scoring)'!$Q$335,"",$H162+1),"")</f>
        <v/>
      </c>
      <c r="I163" s="216" t="e">
        <f ca="1">_xlfn.XLOOKUP($H163,'(backend scoring)'!$S$2:$S$333,'(backend scoring)'!$A$2:$A$333,"")</f>
        <v>#NAME?</v>
      </c>
      <c r="J163" s="216" t="str">
        <f ca="1">IFERROR(VLOOKUP($I163,'Institution Evaluation'!$A$55:$F$346,2,0),IFERROR(VLOOKUP($I163,'Privacy Analyst Evaluation'!$A$46:$F$120,2,0),""))</f>
        <v/>
      </c>
      <c r="K163" s="216" t="str">
        <f ca="1">IFERROR(VLOOKUP($I163,'Institution Evaluation'!$A$55:$F$346,3,0),IFERROR(VLOOKUP($I163,'Privacy Analyst Evaluation'!$A$46:$F$120,3,0),""))&amp;""</f>
        <v/>
      </c>
      <c r="L163" s="216" t="str">
        <f ca="1">IFERROR(VLOOKUP($I163,'Institution Evaluation'!$A$55:$F$346,4,0),IFERROR(VLOOKUP($I163,'Privacy Analyst Evaluation'!$A$46:$F$120,4,0),""))&amp;""</f>
        <v/>
      </c>
      <c r="M163" s="216" t="str">
        <f ca="1">IFERROR(VLOOKUP($I163,'Institution Evaluation'!$A$55:$F$346,6,0),IFERROR(VLOOKUP($I163,'Privacy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ht="17">
      <c r="A164" s="216" t="str">
        <f>IFERROR(IF($A163+1&gt;'(backend scoring)'!$T$335,"",$A163+1),"")</f>
        <v/>
      </c>
      <c r="B164" s="216" t="e">
        <f ca="1">_xlfn.XLOOKUP($A164,'(backend scoring)'!$V$2:$V$333,'(backend scoring)'!$A$2:$A$333,"")</f>
        <v>#NAME?</v>
      </c>
      <c r="C164" s="216" t="str">
        <f ca="1">IFERROR(VLOOKUP($B164,'Institution Evaluation'!$A$55:$F$346,2,0),IFERROR(VLOOKUP($B164,'Privacy Analyst Evaluation'!$A$46:$F$120,2,0),""))&amp;""</f>
        <v/>
      </c>
      <c r="D164" s="216" t="str">
        <f ca="1">IFERROR(VLOOKUP($B164,'Institution Evaluation'!$A$55:$F$346,3,0),IFERROR(VLOOKUP($B164,'Privacy Analyst Evaluation'!$A$46:$F$120,3,0),""))&amp;""</f>
        <v/>
      </c>
      <c r="E164" s="216" t="str">
        <f ca="1">IFERROR(VLOOKUP($B164,'Institution Evaluation'!$A$55:$F$346,4,0),IFERROR(VLOOKUP($B164,'Privacy Analyst Evaluation'!$A$46:$F$120,4,0),""))&amp;""</f>
        <v/>
      </c>
      <c r="F164" s="216" t="str">
        <f ca="1">IFERROR(VLOOKUP($B164,'Institution Evaluation'!$A$55:$F$346,6,0),IFERROR(VLOOKUP($B164,'Privacy Analyst Evaluation'!$A$46:$F$120,6,0),""))&amp;""</f>
        <v/>
      </c>
      <c r="G164" s="217"/>
      <c r="H164" s="216" t="str">
        <f>IFERROR(IF($H163+1&gt;'(backend scoring)'!$Q$335,"",$H163+1),"")</f>
        <v/>
      </c>
      <c r="I164" s="216" t="e">
        <f ca="1">_xlfn.XLOOKUP($H164,'(backend scoring)'!$S$2:$S$333,'(backend scoring)'!$A$2:$A$333,"")</f>
        <v>#NAME?</v>
      </c>
      <c r="J164" s="216" t="str">
        <f ca="1">IFERROR(VLOOKUP($I164,'Institution Evaluation'!$A$55:$F$346,2,0),IFERROR(VLOOKUP($I164,'Privacy Analyst Evaluation'!$A$46:$F$120,2,0),""))</f>
        <v/>
      </c>
      <c r="K164" s="216" t="str">
        <f ca="1">IFERROR(VLOOKUP($I164,'Institution Evaluation'!$A$55:$F$346,3,0),IFERROR(VLOOKUP($I164,'Privacy Analyst Evaluation'!$A$46:$F$120,3,0),""))&amp;""</f>
        <v/>
      </c>
      <c r="L164" s="216" t="str">
        <f ca="1">IFERROR(VLOOKUP($I164,'Institution Evaluation'!$A$55:$F$346,4,0),IFERROR(VLOOKUP($I164,'Privacy Analyst Evaluation'!$A$46:$F$120,4,0),""))&amp;""</f>
        <v/>
      </c>
      <c r="M164" s="216" t="str">
        <f ca="1">IFERROR(VLOOKUP($I164,'Institution Evaluation'!$A$55:$F$346,6,0),IFERROR(VLOOKUP($I164,'Privacy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ht="17">
      <c r="A165" s="216" t="str">
        <f>IFERROR(IF($A164+1&gt;'(backend scoring)'!$T$335,"",$A164+1),"")</f>
        <v/>
      </c>
      <c r="B165" s="216" t="e">
        <f ca="1">_xlfn.XLOOKUP($A165,'(backend scoring)'!$V$2:$V$333,'(backend scoring)'!$A$2:$A$333,"")</f>
        <v>#NAME?</v>
      </c>
      <c r="C165" s="216" t="str">
        <f ca="1">IFERROR(VLOOKUP($B165,'Institution Evaluation'!$A$55:$F$346,2,0),IFERROR(VLOOKUP($B165,'Privacy Analyst Evaluation'!$A$46:$F$120,2,0),""))&amp;""</f>
        <v/>
      </c>
      <c r="D165" s="216" t="str">
        <f ca="1">IFERROR(VLOOKUP($B165,'Institution Evaluation'!$A$55:$F$346,3,0),IFERROR(VLOOKUP($B165,'Privacy Analyst Evaluation'!$A$46:$F$120,3,0),""))&amp;""</f>
        <v/>
      </c>
      <c r="E165" s="216" t="str">
        <f ca="1">IFERROR(VLOOKUP($B165,'Institution Evaluation'!$A$55:$F$346,4,0),IFERROR(VLOOKUP($B165,'Privacy Analyst Evaluation'!$A$46:$F$120,4,0),""))&amp;""</f>
        <v/>
      </c>
      <c r="F165" s="216" t="str">
        <f ca="1">IFERROR(VLOOKUP($B165,'Institution Evaluation'!$A$55:$F$346,6,0),IFERROR(VLOOKUP($B165,'Privacy Analyst Evaluation'!$A$46:$F$120,6,0),""))&amp;""</f>
        <v/>
      </c>
      <c r="G165" s="217"/>
      <c r="H165" s="216" t="str">
        <f>IFERROR(IF($H164+1&gt;'(backend scoring)'!$Q$335,"",$H164+1),"")</f>
        <v/>
      </c>
      <c r="I165" s="216" t="e">
        <f ca="1">_xlfn.XLOOKUP($H165,'(backend scoring)'!$S$2:$S$333,'(backend scoring)'!$A$2:$A$333,"")</f>
        <v>#NAME?</v>
      </c>
      <c r="J165" s="216" t="str">
        <f ca="1">IFERROR(VLOOKUP($I165,'Institution Evaluation'!$A$55:$F$346,2,0),IFERROR(VLOOKUP($I165,'Privacy Analyst Evaluation'!$A$46:$F$120,2,0),""))</f>
        <v/>
      </c>
      <c r="K165" s="216" t="str">
        <f ca="1">IFERROR(VLOOKUP($I165,'Institution Evaluation'!$A$55:$F$346,3,0),IFERROR(VLOOKUP($I165,'Privacy Analyst Evaluation'!$A$46:$F$120,3,0),""))&amp;""</f>
        <v/>
      </c>
      <c r="L165" s="216" t="str">
        <f ca="1">IFERROR(VLOOKUP($I165,'Institution Evaluation'!$A$55:$F$346,4,0),IFERROR(VLOOKUP($I165,'Privacy Analyst Evaluation'!$A$46:$F$120,4,0),""))&amp;""</f>
        <v/>
      </c>
      <c r="M165" s="216" t="str">
        <f ca="1">IFERROR(VLOOKUP($I165,'Institution Evaluation'!$A$55:$F$346,6,0),IFERROR(VLOOKUP($I165,'Privacy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ht="17">
      <c r="A166" s="216" t="str">
        <f>IFERROR(IF($A165+1&gt;'(backend scoring)'!$T$335,"",$A165+1),"")</f>
        <v/>
      </c>
      <c r="B166" s="216" t="e">
        <f ca="1">_xlfn.XLOOKUP($A166,'(backend scoring)'!$V$2:$V$333,'(backend scoring)'!$A$2:$A$333,"")</f>
        <v>#NAME?</v>
      </c>
      <c r="C166" s="216" t="str">
        <f ca="1">IFERROR(VLOOKUP($B166,'Institution Evaluation'!$A$55:$F$346,2,0),IFERROR(VLOOKUP($B166,'Privacy Analyst Evaluation'!$A$46:$F$120,2,0),""))&amp;""</f>
        <v/>
      </c>
      <c r="D166" s="216" t="str">
        <f ca="1">IFERROR(VLOOKUP($B166,'Institution Evaluation'!$A$55:$F$346,3,0),IFERROR(VLOOKUP($B166,'Privacy Analyst Evaluation'!$A$46:$F$120,3,0),""))&amp;""</f>
        <v/>
      </c>
      <c r="E166" s="216" t="str">
        <f ca="1">IFERROR(VLOOKUP($B166,'Institution Evaluation'!$A$55:$F$346,4,0),IFERROR(VLOOKUP($B166,'Privacy Analyst Evaluation'!$A$46:$F$120,4,0),""))&amp;""</f>
        <v/>
      </c>
      <c r="F166" s="216" t="str">
        <f ca="1">IFERROR(VLOOKUP($B166,'Institution Evaluation'!$A$55:$F$346,6,0),IFERROR(VLOOKUP($B166,'Privacy Analyst Evaluation'!$A$46:$F$120,6,0),""))&amp;""</f>
        <v/>
      </c>
      <c r="G166" s="217"/>
      <c r="H166" s="216" t="str">
        <f>IFERROR(IF($H165+1&gt;'(backend scoring)'!$Q$335,"",$H165+1),"")</f>
        <v/>
      </c>
      <c r="I166" s="216" t="e">
        <f ca="1">_xlfn.XLOOKUP($H166,'(backend scoring)'!$S$2:$S$333,'(backend scoring)'!$A$2:$A$333,"")</f>
        <v>#NAME?</v>
      </c>
      <c r="J166" s="216" t="str">
        <f ca="1">IFERROR(VLOOKUP($I166,'Institution Evaluation'!$A$55:$F$346,2,0),IFERROR(VLOOKUP($I166,'Privacy Analyst Evaluation'!$A$46:$F$120,2,0),""))</f>
        <v/>
      </c>
      <c r="K166" s="216" t="str">
        <f ca="1">IFERROR(VLOOKUP($I166,'Institution Evaluation'!$A$55:$F$346,3,0),IFERROR(VLOOKUP($I166,'Privacy Analyst Evaluation'!$A$46:$F$120,3,0),""))&amp;""</f>
        <v/>
      </c>
      <c r="L166" s="216" t="str">
        <f ca="1">IFERROR(VLOOKUP($I166,'Institution Evaluation'!$A$55:$F$346,4,0),IFERROR(VLOOKUP($I166,'Privacy Analyst Evaluation'!$A$46:$F$120,4,0),""))&amp;""</f>
        <v/>
      </c>
      <c r="M166" s="216" t="str">
        <f ca="1">IFERROR(VLOOKUP($I166,'Institution Evaluation'!$A$55:$F$346,6,0),IFERROR(VLOOKUP($I166,'Privacy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ht="17">
      <c r="A167" s="216" t="str">
        <f>IFERROR(IF($A166+1&gt;'(backend scoring)'!$T$335,"",$A166+1),"")</f>
        <v/>
      </c>
      <c r="B167" s="216" t="e">
        <f ca="1">_xlfn.XLOOKUP($A167,'(backend scoring)'!$V$2:$V$333,'(backend scoring)'!$A$2:$A$333,"")</f>
        <v>#NAME?</v>
      </c>
      <c r="C167" s="216" t="str">
        <f ca="1">IFERROR(VLOOKUP($B167,'Institution Evaluation'!$A$55:$F$346,2,0),IFERROR(VLOOKUP($B167,'Privacy Analyst Evaluation'!$A$46:$F$120,2,0),""))&amp;""</f>
        <v/>
      </c>
      <c r="D167" s="216" t="str">
        <f ca="1">IFERROR(VLOOKUP($B167,'Institution Evaluation'!$A$55:$F$346,3,0),IFERROR(VLOOKUP($B167,'Privacy Analyst Evaluation'!$A$46:$F$120,3,0),""))&amp;""</f>
        <v/>
      </c>
      <c r="E167" s="216" t="str">
        <f ca="1">IFERROR(VLOOKUP($B167,'Institution Evaluation'!$A$55:$F$346,4,0),IFERROR(VLOOKUP($B167,'Privacy Analyst Evaluation'!$A$46:$F$120,4,0),""))&amp;""</f>
        <v/>
      </c>
      <c r="F167" s="216" t="str">
        <f ca="1">IFERROR(VLOOKUP($B167,'Institution Evaluation'!$A$55:$F$346,6,0),IFERROR(VLOOKUP($B167,'Privacy Analyst Evaluation'!$A$46:$F$120,6,0),""))&amp;""</f>
        <v/>
      </c>
      <c r="G167" s="217"/>
      <c r="H167" s="216" t="str">
        <f>IFERROR(IF($H166+1&gt;'(backend scoring)'!$Q$335,"",$H166+1),"")</f>
        <v/>
      </c>
      <c r="I167" s="216" t="e">
        <f ca="1">_xlfn.XLOOKUP($H167,'(backend scoring)'!$S$2:$S$333,'(backend scoring)'!$A$2:$A$333,"")</f>
        <v>#NAME?</v>
      </c>
      <c r="J167" s="216" t="str">
        <f ca="1">IFERROR(VLOOKUP($I167,'Institution Evaluation'!$A$55:$F$346,2,0),IFERROR(VLOOKUP($I167,'Privacy Analyst Evaluation'!$A$46:$F$120,2,0),""))</f>
        <v/>
      </c>
      <c r="K167" s="216" t="str">
        <f ca="1">IFERROR(VLOOKUP($I167,'Institution Evaluation'!$A$55:$F$346,3,0),IFERROR(VLOOKUP($I167,'Privacy Analyst Evaluation'!$A$46:$F$120,3,0),""))&amp;""</f>
        <v/>
      </c>
      <c r="L167" s="216" t="str">
        <f ca="1">IFERROR(VLOOKUP($I167,'Institution Evaluation'!$A$55:$F$346,4,0),IFERROR(VLOOKUP($I167,'Privacy Analyst Evaluation'!$A$46:$F$120,4,0),""))&amp;""</f>
        <v/>
      </c>
      <c r="M167" s="216" t="str">
        <f ca="1">IFERROR(VLOOKUP($I167,'Institution Evaluation'!$A$55:$F$346,6,0),IFERROR(VLOOKUP($I167,'Privacy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ht="17">
      <c r="A168" s="216" t="str">
        <f>IFERROR(IF($A167+1&gt;'(backend scoring)'!$T$335,"",$A167+1),"")</f>
        <v/>
      </c>
      <c r="B168" s="216" t="e">
        <f ca="1">_xlfn.XLOOKUP($A168,'(backend scoring)'!$V$2:$V$333,'(backend scoring)'!$A$2:$A$333,"")</f>
        <v>#NAME?</v>
      </c>
      <c r="C168" s="216" t="str">
        <f ca="1">IFERROR(VLOOKUP($B168,'Institution Evaluation'!$A$55:$F$346,2,0),IFERROR(VLOOKUP($B168,'Privacy Analyst Evaluation'!$A$46:$F$120,2,0),""))&amp;""</f>
        <v/>
      </c>
      <c r="D168" s="216" t="str">
        <f ca="1">IFERROR(VLOOKUP($B168,'Institution Evaluation'!$A$55:$F$346,3,0),IFERROR(VLOOKUP($B168,'Privacy Analyst Evaluation'!$A$46:$F$120,3,0),""))&amp;""</f>
        <v/>
      </c>
      <c r="E168" s="216" t="str">
        <f ca="1">IFERROR(VLOOKUP($B168,'Institution Evaluation'!$A$55:$F$346,4,0),IFERROR(VLOOKUP($B168,'Privacy Analyst Evaluation'!$A$46:$F$120,4,0),""))&amp;""</f>
        <v/>
      </c>
      <c r="F168" s="216" t="str">
        <f ca="1">IFERROR(VLOOKUP($B168,'Institution Evaluation'!$A$55:$F$346,6,0),IFERROR(VLOOKUP($B168,'Privacy Analyst Evaluation'!$A$46:$F$120,6,0),""))&amp;""</f>
        <v/>
      </c>
      <c r="G168" s="217"/>
      <c r="H168" s="216" t="str">
        <f>IFERROR(IF($H167+1&gt;'(backend scoring)'!$Q$335,"",$H167+1),"")</f>
        <v/>
      </c>
      <c r="I168" s="216" t="e">
        <f ca="1">_xlfn.XLOOKUP($H168,'(backend scoring)'!$S$2:$S$333,'(backend scoring)'!$A$2:$A$333,"")</f>
        <v>#NAME?</v>
      </c>
      <c r="J168" s="216" t="str">
        <f ca="1">IFERROR(VLOOKUP($I168,'Institution Evaluation'!$A$55:$F$346,2,0),IFERROR(VLOOKUP($I168,'Privacy Analyst Evaluation'!$A$46:$F$120,2,0),""))</f>
        <v/>
      </c>
      <c r="K168" s="216" t="str">
        <f ca="1">IFERROR(VLOOKUP($I168,'Institution Evaluation'!$A$55:$F$346,3,0),IFERROR(VLOOKUP($I168,'Privacy Analyst Evaluation'!$A$46:$F$120,3,0),""))&amp;""</f>
        <v/>
      </c>
      <c r="L168" s="216" t="str">
        <f ca="1">IFERROR(VLOOKUP($I168,'Institution Evaluation'!$A$55:$F$346,4,0),IFERROR(VLOOKUP($I168,'Privacy Analyst Evaluation'!$A$46:$F$120,4,0),""))&amp;""</f>
        <v/>
      </c>
      <c r="M168" s="216" t="str">
        <f ca="1">IFERROR(VLOOKUP($I168,'Institution Evaluation'!$A$55:$F$346,6,0),IFERROR(VLOOKUP($I168,'Privacy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ht="17">
      <c r="A169" s="216" t="str">
        <f>IFERROR(IF($A168+1&gt;'(backend scoring)'!$T$335,"",$A168+1),"")</f>
        <v/>
      </c>
      <c r="B169" s="216" t="e">
        <f ca="1">_xlfn.XLOOKUP($A169,'(backend scoring)'!$V$2:$V$333,'(backend scoring)'!$A$2:$A$333,"")</f>
        <v>#NAME?</v>
      </c>
      <c r="C169" s="216" t="str">
        <f ca="1">IFERROR(VLOOKUP($B169,'Institution Evaluation'!$A$55:$F$346,2,0),IFERROR(VLOOKUP($B169,'Privacy Analyst Evaluation'!$A$46:$F$120,2,0),""))&amp;""</f>
        <v/>
      </c>
      <c r="D169" s="216" t="str">
        <f ca="1">IFERROR(VLOOKUP($B169,'Institution Evaluation'!$A$55:$F$346,3,0),IFERROR(VLOOKUP($B169,'Privacy Analyst Evaluation'!$A$46:$F$120,3,0),""))&amp;""</f>
        <v/>
      </c>
      <c r="E169" s="216" t="str">
        <f ca="1">IFERROR(VLOOKUP($B169,'Institution Evaluation'!$A$55:$F$346,4,0),IFERROR(VLOOKUP($B169,'Privacy Analyst Evaluation'!$A$46:$F$120,4,0),""))&amp;""</f>
        <v/>
      </c>
      <c r="F169" s="216" t="str">
        <f ca="1">IFERROR(VLOOKUP($B169,'Institution Evaluation'!$A$55:$F$346,6,0),IFERROR(VLOOKUP($B169,'Privacy Analyst Evaluation'!$A$46:$F$120,6,0),""))&amp;""</f>
        <v/>
      </c>
      <c r="G169" s="217"/>
      <c r="H169" s="216" t="str">
        <f>IFERROR(IF($H168+1&gt;'(backend scoring)'!$Q$335,"",$H168+1),"")</f>
        <v/>
      </c>
      <c r="I169" s="216" t="e">
        <f ca="1">_xlfn.XLOOKUP($H169,'(backend scoring)'!$S$2:$S$333,'(backend scoring)'!$A$2:$A$333,"")</f>
        <v>#NAME?</v>
      </c>
      <c r="J169" s="216" t="str">
        <f ca="1">IFERROR(VLOOKUP($I169,'Institution Evaluation'!$A$55:$F$346,2,0),IFERROR(VLOOKUP($I169,'Privacy Analyst Evaluation'!$A$46:$F$120,2,0),""))</f>
        <v/>
      </c>
      <c r="K169" s="216" t="str">
        <f ca="1">IFERROR(VLOOKUP($I169,'Institution Evaluation'!$A$55:$F$346,3,0),IFERROR(VLOOKUP($I169,'Privacy Analyst Evaluation'!$A$46:$F$120,3,0),""))&amp;""</f>
        <v/>
      </c>
      <c r="L169" s="216" t="str">
        <f ca="1">IFERROR(VLOOKUP($I169,'Institution Evaluation'!$A$55:$F$346,4,0),IFERROR(VLOOKUP($I169,'Privacy Analyst Evaluation'!$A$46:$F$120,4,0),""))&amp;""</f>
        <v/>
      </c>
      <c r="M169" s="216" t="str">
        <f ca="1">IFERROR(VLOOKUP($I169,'Institution Evaluation'!$A$55:$F$346,6,0),IFERROR(VLOOKUP($I169,'Privacy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ht="17">
      <c r="A170" s="216" t="str">
        <f>IFERROR(IF($A169+1&gt;'(backend scoring)'!$T$335,"",$A169+1),"")</f>
        <v/>
      </c>
      <c r="B170" s="216" t="e">
        <f ca="1">_xlfn.XLOOKUP($A170,'(backend scoring)'!$V$2:$V$333,'(backend scoring)'!$A$2:$A$333,"")</f>
        <v>#NAME?</v>
      </c>
      <c r="C170" s="216" t="str">
        <f ca="1">IFERROR(VLOOKUP($B170,'Institution Evaluation'!$A$55:$F$346,2,0),IFERROR(VLOOKUP($B170,'Privacy Analyst Evaluation'!$A$46:$F$120,2,0),""))&amp;""</f>
        <v/>
      </c>
      <c r="D170" s="216" t="str">
        <f ca="1">IFERROR(VLOOKUP($B170,'Institution Evaluation'!$A$55:$F$346,3,0),IFERROR(VLOOKUP($B170,'Privacy Analyst Evaluation'!$A$46:$F$120,3,0),""))&amp;""</f>
        <v/>
      </c>
      <c r="E170" s="216" t="str">
        <f ca="1">IFERROR(VLOOKUP($B170,'Institution Evaluation'!$A$55:$F$346,4,0),IFERROR(VLOOKUP($B170,'Privacy Analyst Evaluation'!$A$46:$F$120,4,0),""))&amp;""</f>
        <v/>
      </c>
      <c r="F170" s="216" t="str">
        <f ca="1">IFERROR(VLOOKUP($B170,'Institution Evaluation'!$A$55:$F$346,6,0),IFERROR(VLOOKUP($B170,'Privacy Analyst Evaluation'!$A$46:$F$120,6,0),""))&amp;""</f>
        <v/>
      </c>
      <c r="G170" s="217"/>
      <c r="H170" s="216" t="str">
        <f>IFERROR(IF($H169+1&gt;'(backend scoring)'!$Q$335,"",$H169+1),"")</f>
        <v/>
      </c>
      <c r="I170" s="216" t="e">
        <f ca="1">_xlfn.XLOOKUP($H170,'(backend scoring)'!$S$2:$S$333,'(backend scoring)'!$A$2:$A$333,"")</f>
        <v>#NAME?</v>
      </c>
      <c r="J170" s="216" t="str">
        <f ca="1">IFERROR(VLOOKUP($I170,'Institution Evaluation'!$A$55:$F$346,2,0),IFERROR(VLOOKUP($I170,'Privacy Analyst Evaluation'!$A$46:$F$120,2,0),""))</f>
        <v/>
      </c>
      <c r="K170" s="216" t="str">
        <f ca="1">IFERROR(VLOOKUP($I170,'Institution Evaluation'!$A$55:$F$346,3,0),IFERROR(VLOOKUP($I170,'Privacy Analyst Evaluation'!$A$46:$F$120,3,0),""))&amp;""</f>
        <v/>
      </c>
      <c r="L170" s="216" t="str">
        <f ca="1">IFERROR(VLOOKUP($I170,'Institution Evaluation'!$A$55:$F$346,4,0),IFERROR(VLOOKUP($I170,'Privacy Analyst Evaluation'!$A$46:$F$120,4,0),""))&amp;""</f>
        <v/>
      </c>
      <c r="M170" s="216" t="str">
        <f ca="1">IFERROR(VLOOKUP($I170,'Institution Evaluation'!$A$55:$F$346,6,0),IFERROR(VLOOKUP($I170,'Privacy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ht="17">
      <c r="A171" s="216" t="str">
        <f>IFERROR(IF($A170+1&gt;'(backend scoring)'!$T$335,"",$A170+1),"")</f>
        <v/>
      </c>
      <c r="B171" s="216" t="e">
        <f ca="1">_xlfn.XLOOKUP($A171,'(backend scoring)'!$V$2:$V$333,'(backend scoring)'!$A$2:$A$333,"")</f>
        <v>#NAME?</v>
      </c>
      <c r="C171" s="216" t="str">
        <f ca="1">IFERROR(VLOOKUP($B171,'Institution Evaluation'!$A$55:$F$346,2,0),IFERROR(VLOOKUP($B171,'Privacy Analyst Evaluation'!$A$46:$F$120,2,0),""))&amp;""</f>
        <v/>
      </c>
      <c r="D171" s="216" t="str">
        <f ca="1">IFERROR(VLOOKUP($B171,'Institution Evaluation'!$A$55:$F$346,3,0),IFERROR(VLOOKUP($B171,'Privacy Analyst Evaluation'!$A$46:$F$120,3,0),""))&amp;""</f>
        <v/>
      </c>
      <c r="E171" s="216" t="str">
        <f ca="1">IFERROR(VLOOKUP($B171,'Institution Evaluation'!$A$55:$F$346,4,0),IFERROR(VLOOKUP($B171,'Privacy Analyst Evaluation'!$A$46:$F$120,4,0),""))&amp;""</f>
        <v/>
      </c>
      <c r="F171" s="216" t="str">
        <f ca="1">IFERROR(VLOOKUP($B171,'Institution Evaluation'!$A$55:$F$346,6,0),IFERROR(VLOOKUP($B171,'Privacy Analyst Evaluation'!$A$46:$F$120,6,0),""))&amp;""</f>
        <v/>
      </c>
      <c r="G171" s="217"/>
      <c r="H171" s="216" t="str">
        <f>IFERROR(IF($H170+1&gt;'(backend scoring)'!$Q$335,"",$H170+1),"")</f>
        <v/>
      </c>
      <c r="I171" s="216" t="e">
        <f ca="1">_xlfn.XLOOKUP($H171,'(backend scoring)'!$S$2:$S$333,'(backend scoring)'!$A$2:$A$333,"")</f>
        <v>#NAME?</v>
      </c>
      <c r="J171" s="216" t="str">
        <f ca="1">IFERROR(VLOOKUP($I171,'Institution Evaluation'!$A$55:$F$346,2,0),IFERROR(VLOOKUP($I171,'Privacy Analyst Evaluation'!$A$46:$F$120,2,0),""))</f>
        <v/>
      </c>
      <c r="K171" s="216" t="str">
        <f ca="1">IFERROR(VLOOKUP($I171,'Institution Evaluation'!$A$55:$F$346,3,0),IFERROR(VLOOKUP($I171,'Privacy Analyst Evaluation'!$A$46:$F$120,3,0),""))&amp;""</f>
        <v/>
      </c>
      <c r="L171" s="216" t="str">
        <f ca="1">IFERROR(VLOOKUP($I171,'Institution Evaluation'!$A$55:$F$346,4,0),IFERROR(VLOOKUP($I171,'Privacy Analyst Evaluation'!$A$46:$F$120,4,0),""))&amp;""</f>
        <v/>
      </c>
      <c r="M171" s="216" t="str">
        <f ca="1">IFERROR(VLOOKUP($I171,'Institution Evaluation'!$A$55:$F$346,6,0),IFERROR(VLOOKUP($I171,'Privacy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ht="17">
      <c r="A172" s="216" t="str">
        <f>IFERROR(IF($A171+1&gt;'(backend scoring)'!$T$335,"",$A171+1),"")</f>
        <v/>
      </c>
      <c r="B172" s="216" t="e">
        <f ca="1">_xlfn.XLOOKUP($A172,'(backend scoring)'!$V$2:$V$333,'(backend scoring)'!$A$2:$A$333,"")</f>
        <v>#NAME?</v>
      </c>
      <c r="C172" s="216" t="str">
        <f ca="1">IFERROR(VLOOKUP($B172,'Institution Evaluation'!$A$55:$F$346,2,0),IFERROR(VLOOKUP($B172,'Privacy Analyst Evaluation'!$A$46:$F$120,2,0),""))&amp;""</f>
        <v/>
      </c>
      <c r="D172" s="216" t="str">
        <f ca="1">IFERROR(VLOOKUP($B172,'Institution Evaluation'!$A$55:$F$346,3,0),IFERROR(VLOOKUP($B172,'Privacy Analyst Evaluation'!$A$46:$F$120,3,0),""))&amp;""</f>
        <v/>
      </c>
      <c r="E172" s="216" t="str">
        <f ca="1">IFERROR(VLOOKUP($B172,'Institution Evaluation'!$A$55:$F$346,4,0),IFERROR(VLOOKUP($B172,'Privacy Analyst Evaluation'!$A$46:$F$120,4,0),""))&amp;""</f>
        <v/>
      </c>
      <c r="F172" s="216" t="str">
        <f ca="1">IFERROR(VLOOKUP($B172,'Institution Evaluation'!$A$55:$F$346,6,0),IFERROR(VLOOKUP($B172,'Privacy Analyst Evaluation'!$A$46:$F$120,6,0),""))&amp;""</f>
        <v/>
      </c>
      <c r="G172" s="217"/>
      <c r="H172" s="216" t="str">
        <f>IFERROR(IF($H171+1&gt;'(backend scoring)'!$Q$335,"",$H171+1),"")</f>
        <v/>
      </c>
      <c r="I172" s="216" t="e">
        <f ca="1">_xlfn.XLOOKUP($H172,'(backend scoring)'!$S$2:$S$333,'(backend scoring)'!$A$2:$A$333,"")</f>
        <v>#NAME?</v>
      </c>
      <c r="J172" s="216" t="str">
        <f ca="1">IFERROR(VLOOKUP($I172,'Institution Evaluation'!$A$55:$F$346,2,0),IFERROR(VLOOKUP($I172,'Privacy Analyst Evaluation'!$A$46:$F$120,2,0),""))</f>
        <v/>
      </c>
      <c r="K172" s="216" t="str">
        <f ca="1">IFERROR(VLOOKUP($I172,'Institution Evaluation'!$A$55:$F$346,3,0),IFERROR(VLOOKUP($I172,'Privacy Analyst Evaluation'!$A$46:$F$120,3,0),""))&amp;""</f>
        <v/>
      </c>
      <c r="L172" s="216" t="str">
        <f ca="1">IFERROR(VLOOKUP($I172,'Institution Evaluation'!$A$55:$F$346,4,0),IFERROR(VLOOKUP($I172,'Privacy Analyst Evaluation'!$A$46:$F$120,4,0),""))&amp;""</f>
        <v/>
      </c>
      <c r="M172" s="216" t="str">
        <f ca="1">IFERROR(VLOOKUP($I172,'Institution Evaluation'!$A$55:$F$346,6,0),IFERROR(VLOOKUP($I172,'Privacy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ht="17">
      <c r="A173" s="216" t="str">
        <f>IFERROR(IF($A172+1&gt;'(backend scoring)'!$T$335,"",$A172+1),"")</f>
        <v/>
      </c>
      <c r="B173" s="216" t="e">
        <f ca="1">_xlfn.XLOOKUP($A173,'(backend scoring)'!$V$2:$V$333,'(backend scoring)'!$A$2:$A$333,"")</f>
        <v>#NAME?</v>
      </c>
      <c r="C173" s="216" t="str">
        <f ca="1">IFERROR(VLOOKUP($B173,'Institution Evaluation'!$A$55:$F$346,2,0),IFERROR(VLOOKUP($B173,'Privacy Analyst Evaluation'!$A$46:$F$120,2,0),""))&amp;""</f>
        <v/>
      </c>
      <c r="D173" s="216" t="str">
        <f ca="1">IFERROR(VLOOKUP($B173,'Institution Evaluation'!$A$55:$F$346,3,0),IFERROR(VLOOKUP($B173,'Privacy Analyst Evaluation'!$A$46:$F$120,3,0),""))&amp;""</f>
        <v/>
      </c>
      <c r="E173" s="216" t="str">
        <f ca="1">IFERROR(VLOOKUP($B173,'Institution Evaluation'!$A$55:$F$346,4,0),IFERROR(VLOOKUP($B173,'Privacy Analyst Evaluation'!$A$46:$F$120,4,0),""))&amp;""</f>
        <v/>
      </c>
      <c r="F173" s="216" t="str">
        <f ca="1">IFERROR(VLOOKUP($B173,'Institution Evaluation'!$A$55:$F$346,6,0),IFERROR(VLOOKUP($B173,'Privacy Analyst Evaluation'!$A$46:$F$120,6,0),""))&amp;""</f>
        <v/>
      </c>
      <c r="G173" s="217"/>
      <c r="H173" s="216" t="str">
        <f>IFERROR(IF($H172+1&gt;'(backend scoring)'!$Q$335,"",$H172+1),"")</f>
        <v/>
      </c>
      <c r="I173" s="216" t="e">
        <f ca="1">_xlfn.XLOOKUP($H173,'(backend scoring)'!$S$2:$S$333,'(backend scoring)'!$A$2:$A$333,"")</f>
        <v>#NAME?</v>
      </c>
      <c r="J173" s="216" t="str">
        <f ca="1">IFERROR(VLOOKUP($I173,'Institution Evaluation'!$A$55:$F$346,2,0),IFERROR(VLOOKUP($I173,'Privacy Analyst Evaluation'!$A$46:$F$120,2,0),""))</f>
        <v/>
      </c>
      <c r="K173" s="216" t="str">
        <f ca="1">IFERROR(VLOOKUP($I173,'Institution Evaluation'!$A$55:$F$346,3,0),IFERROR(VLOOKUP($I173,'Privacy Analyst Evaluation'!$A$46:$F$120,3,0),""))&amp;""</f>
        <v/>
      </c>
      <c r="L173" s="216" t="str">
        <f ca="1">IFERROR(VLOOKUP($I173,'Institution Evaluation'!$A$55:$F$346,4,0),IFERROR(VLOOKUP($I173,'Privacy Analyst Evaluation'!$A$46:$F$120,4,0),""))&amp;""</f>
        <v/>
      </c>
      <c r="M173" s="216" t="str">
        <f ca="1">IFERROR(VLOOKUP($I173,'Institution Evaluation'!$A$55:$F$346,6,0),IFERROR(VLOOKUP($I173,'Privacy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ht="17">
      <c r="A174" s="216" t="str">
        <f>IFERROR(IF($A173+1&gt;'(backend scoring)'!$T$335,"",$A173+1),"")</f>
        <v/>
      </c>
      <c r="B174" s="216" t="e">
        <f ca="1">_xlfn.XLOOKUP($A174,'(backend scoring)'!$V$2:$V$333,'(backend scoring)'!$A$2:$A$333,"")</f>
        <v>#NAME?</v>
      </c>
      <c r="C174" s="216" t="str">
        <f ca="1">IFERROR(VLOOKUP($B174,'Institution Evaluation'!$A$55:$F$346,2,0),IFERROR(VLOOKUP($B174,'Privacy Analyst Evaluation'!$A$46:$F$120,2,0),""))&amp;""</f>
        <v/>
      </c>
      <c r="D174" s="216" t="str">
        <f ca="1">IFERROR(VLOOKUP($B174,'Institution Evaluation'!$A$55:$F$346,3,0),IFERROR(VLOOKUP($B174,'Privacy Analyst Evaluation'!$A$46:$F$120,3,0),""))&amp;""</f>
        <v/>
      </c>
      <c r="E174" s="216" t="str">
        <f ca="1">IFERROR(VLOOKUP($B174,'Institution Evaluation'!$A$55:$F$346,4,0),IFERROR(VLOOKUP($B174,'Privacy Analyst Evaluation'!$A$46:$F$120,4,0),""))&amp;""</f>
        <v/>
      </c>
      <c r="F174" s="216" t="str">
        <f ca="1">IFERROR(VLOOKUP($B174,'Institution Evaluation'!$A$55:$F$346,6,0),IFERROR(VLOOKUP($B174,'Privacy Analyst Evaluation'!$A$46:$F$120,6,0),""))&amp;""</f>
        <v/>
      </c>
      <c r="G174" s="217"/>
      <c r="H174" s="216" t="str">
        <f>IFERROR(IF($H173+1&gt;'(backend scoring)'!$Q$335,"",$H173+1),"")</f>
        <v/>
      </c>
      <c r="I174" s="216" t="e">
        <f ca="1">_xlfn.XLOOKUP($H174,'(backend scoring)'!$S$2:$S$333,'(backend scoring)'!$A$2:$A$333,"")</f>
        <v>#NAME?</v>
      </c>
      <c r="J174" s="216" t="str">
        <f ca="1">IFERROR(VLOOKUP($I174,'Institution Evaluation'!$A$55:$F$346,2,0),IFERROR(VLOOKUP($I174,'Privacy Analyst Evaluation'!$A$46:$F$120,2,0),""))</f>
        <v/>
      </c>
      <c r="K174" s="216" t="str">
        <f ca="1">IFERROR(VLOOKUP($I174,'Institution Evaluation'!$A$55:$F$346,3,0),IFERROR(VLOOKUP($I174,'Privacy Analyst Evaluation'!$A$46:$F$120,3,0),""))&amp;""</f>
        <v/>
      </c>
      <c r="L174" s="216" t="str">
        <f ca="1">IFERROR(VLOOKUP($I174,'Institution Evaluation'!$A$55:$F$346,4,0),IFERROR(VLOOKUP($I174,'Privacy Analyst Evaluation'!$A$46:$F$120,4,0),""))&amp;""</f>
        <v/>
      </c>
      <c r="M174" s="216" t="str">
        <f ca="1">IFERROR(VLOOKUP($I174,'Institution Evaluation'!$A$55:$F$346,6,0),IFERROR(VLOOKUP($I174,'Privacy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ht="17">
      <c r="A175" s="216" t="str">
        <f>IFERROR(IF($A174+1&gt;'(backend scoring)'!$T$335,"",$A174+1),"")</f>
        <v/>
      </c>
      <c r="B175" s="216" t="e">
        <f ca="1">_xlfn.XLOOKUP($A175,'(backend scoring)'!$V$2:$V$333,'(backend scoring)'!$A$2:$A$333,"")</f>
        <v>#NAME?</v>
      </c>
      <c r="C175" s="216" t="str">
        <f ca="1">IFERROR(VLOOKUP($B175,'Institution Evaluation'!$A$55:$F$346,2,0),IFERROR(VLOOKUP($B175,'Privacy Analyst Evaluation'!$A$46:$F$120,2,0),""))&amp;""</f>
        <v/>
      </c>
      <c r="D175" s="216" t="str">
        <f ca="1">IFERROR(VLOOKUP($B175,'Institution Evaluation'!$A$55:$F$346,3,0),IFERROR(VLOOKUP($B175,'Privacy Analyst Evaluation'!$A$46:$F$120,3,0),""))&amp;""</f>
        <v/>
      </c>
      <c r="E175" s="216" t="str">
        <f ca="1">IFERROR(VLOOKUP($B175,'Institution Evaluation'!$A$55:$F$346,4,0),IFERROR(VLOOKUP($B175,'Privacy Analyst Evaluation'!$A$46:$F$120,4,0),""))&amp;""</f>
        <v/>
      </c>
      <c r="F175" s="216" t="str">
        <f ca="1">IFERROR(VLOOKUP($B175,'Institution Evaluation'!$A$55:$F$346,6,0),IFERROR(VLOOKUP($B175,'Privacy Analyst Evaluation'!$A$46:$F$120,6,0),""))&amp;""</f>
        <v/>
      </c>
      <c r="G175" s="217"/>
      <c r="H175" s="216" t="str">
        <f>IFERROR(IF($H174+1&gt;'(backend scoring)'!$Q$335,"",$H174+1),"")</f>
        <v/>
      </c>
      <c r="I175" s="216" t="e">
        <f ca="1">_xlfn.XLOOKUP($H175,'(backend scoring)'!$S$2:$S$333,'(backend scoring)'!$A$2:$A$333,"")</f>
        <v>#NAME?</v>
      </c>
      <c r="J175" s="216" t="str">
        <f ca="1">IFERROR(VLOOKUP($I175,'Institution Evaluation'!$A$55:$F$346,2,0),IFERROR(VLOOKUP($I175,'Privacy Analyst Evaluation'!$A$46:$F$120,2,0),""))</f>
        <v/>
      </c>
      <c r="K175" s="216" t="str">
        <f ca="1">IFERROR(VLOOKUP($I175,'Institution Evaluation'!$A$55:$F$346,3,0),IFERROR(VLOOKUP($I175,'Privacy Analyst Evaluation'!$A$46:$F$120,3,0),""))&amp;""</f>
        <v/>
      </c>
      <c r="L175" s="216" t="str">
        <f ca="1">IFERROR(VLOOKUP($I175,'Institution Evaluation'!$A$55:$F$346,4,0),IFERROR(VLOOKUP($I175,'Privacy Analyst Evaluation'!$A$46:$F$120,4,0),""))&amp;""</f>
        <v/>
      </c>
      <c r="M175" s="216" t="str">
        <f ca="1">IFERROR(VLOOKUP($I175,'Institution Evaluation'!$A$55:$F$346,6,0),IFERROR(VLOOKUP($I175,'Privacy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ht="17">
      <c r="A176" s="216" t="str">
        <f>IFERROR(IF($A175+1&gt;'(backend scoring)'!$T$335,"",$A175+1),"")</f>
        <v/>
      </c>
      <c r="B176" s="216" t="e">
        <f ca="1">_xlfn.XLOOKUP($A176,'(backend scoring)'!$V$2:$V$333,'(backend scoring)'!$A$2:$A$333,"")</f>
        <v>#NAME?</v>
      </c>
      <c r="C176" s="216" t="str">
        <f ca="1">IFERROR(VLOOKUP($B176,'Institution Evaluation'!$A$55:$F$346,2,0),IFERROR(VLOOKUP($B176,'Privacy Analyst Evaluation'!$A$46:$F$120,2,0),""))&amp;""</f>
        <v/>
      </c>
      <c r="D176" s="216" t="str">
        <f ca="1">IFERROR(VLOOKUP($B176,'Institution Evaluation'!$A$55:$F$346,3,0),IFERROR(VLOOKUP($B176,'Privacy Analyst Evaluation'!$A$46:$F$120,3,0),""))&amp;""</f>
        <v/>
      </c>
      <c r="E176" s="216" t="str">
        <f ca="1">IFERROR(VLOOKUP($B176,'Institution Evaluation'!$A$55:$F$346,4,0),IFERROR(VLOOKUP($B176,'Privacy Analyst Evaluation'!$A$46:$F$120,4,0),""))&amp;""</f>
        <v/>
      </c>
      <c r="F176" s="216" t="str">
        <f ca="1">IFERROR(VLOOKUP($B176,'Institution Evaluation'!$A$55:$F$346,6,0),IFERROR(VLOOKUP($B176,'Privacy Analyst Evaluation'!$A$46:$F$120,6,0),""))&amp;""</f>
        <v/>
      </c>
      <c r="G176" s="217"/>
      <c r="H176" s="216" t="str">
        <f>IFERROR(IF($H175+1&gt;'(backend scoring)'!$Q$335,"",$H175+1),"")</f>
        <v/>
      </c>
      <c r="I176" s="216" t="e">
        <f ca="1">_xlfn.XLOOKUP($H176,'(backend scoring)'!$S$2:$S$333,'(backend scoring)'!$A$2:$A$333,"")</f>
        <v>#NAME?</v>
      </c>
      <c r="J176" s="216" t="str">
        <f ca="1">IFERROR(VLOOKUP($I176,'Institution Evaluation'!$A$55:$F$346,2,0),IFERROR(VLOOKUP($I176,'Privacy Analyst Evaluation'!$A$46:$F$120,2,0),""))</f>
        <v/>
      </c>
      <c r="K176" s="216" t="str">
        <f ca="1">IFERROR(VLOOKUP($I176,'Institution Evaluation'!$A$55:$F$346,3,0),IFERROR(VLOOKUP($I176,'Privacy Analyst Evaluation'!$A$46:$F$120,3,0),""))&amp;""</f>
        <v/>
      </c>
      <c r="L176" s="216" t="str">
        <f ca="1">IFERROR(VLOOKUP($I176,'Institution Evaluation'!$A$55:$F$346,4,0),IFERROR(VLOOKUP($I176,'Privacy Analyst Evaluation'!$A$46:$F$120,4,0),""))&amp;""</f>
        <v/>
      </c>
      <c r="M176" s="216" t="str">
        <f ca="1">IFERROR(VLOOKUP($I176,'Institution Evaluation'!$A$55:$F$346,6,0),IFERROR(VLOOKUP($I176,'Privacy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ht="17">
      <c r="A177" s="216" t="str">
        <f>IFERROR(IF($A176+1&gt;'(backend scoring)'!$T$335,"",$A176+1),"")</f>
        <v/>
      </c>
      <c r="B177" s="216" t="e">
        <f ca="1">_xlfn.XLOOKUP($A177,'(backend scoring)'!$V$2:$V$333,'(backend scoring)'!$A$2:$A$333,"")</f>
        <v>#NAME?</v>
      </c>
      <c r="C177" s="216" t="str">
        <f ca="1">IFERROR(VLOOKUP($B177,'Institution Evaluation'!$A$55:$F$346,2,0),IFERROR(VLOOKUP($B177,'Privacy Analyst Evaluation'!$A$46:$F$120,2,0),""))&amp;""</f>
        <v/>
      </c>
      <c r="D177" s="216" t="str">
        <f ca="1">IFERROR(VLOOKUP($B177,'Institution Evaluation'!$A$55:$F$346,3,0),IFERROR(VLOOKUP($B177,'Privacy Analyst Evaluation'!$A$46:$F$120,3,0),""))&amp;""</f>
        <v/>
      </c>
      <c r="E177" s="216" t="str">
        <f ca="1">IFERROR(VLOOKUP($B177,'Institution Evaluation'!$A$55:$F$346,4,0),IFERROR(VLOOKUP($B177,'Privacy Analyst Evaluation'!$A$46:$F$120,4,0),""))&amp;""</f>
        <v/>
      </c>
      <c r="F177" s="216" t="str">
        <f ca="1">IFERROR(VLOOKUP($B177,'Institution Evaluation'!$A$55:$F$346,6,0),IFERROR(VLOOKUP($B177,'Privacy Analyst Evaluation'!$A$46:$F$120,6,0),""))&amp;""</f>
        <v/>
      </c>
      <c r="G177" s="217"/>
      <c r="H177" s="216" t="str">
        <f>IFERROR(IF($H176+1&gt;'(backend scoring)'!$Q$335,"",$H176+1),"")</f>
        <v/>
      </c>
      <c r="I177" s="216" t="e">
        <f ca="1">_xlfn.XLOOKUP($H177,'(backend scoring)'!$S$2:$S$333,'(backend scoring)'!$A$2:$A$333,"")</f>
        <v>#NAME?</v>
      </c>
      <c r="J177" s="216" t="str">
        <f ca="1">IFERROR(VLOOKUP($I177,'Institution Evaluation'!$A$55:$F$346,2,0),IFERROR(VLOOKUP($I177,'Privacy Analyst Evaluation'!$A$46:$F$120,2,0),""))</f>
        <v/>
      </c>
      <c r="K177" s="216" t="str">
        <f ca="1">IFERROR(VLOOKUP($I177,'Institution Evaluation'!$A$55:$F$346,3,0),IFERROR(VLOOKUP($I177,'Privacy Analyst Evaluation'!$A$46:$F$120,3,0),""))&amp;""</f>
        <v/>
      </c>
      <c r="L177" s="216" t="str">
        <f ca="1">IFERROR(VLOOKUP($I177,'Institution Evaluation'!$A$55:$F$346,4,0),IFERROR(VLOOKUP($I177,'Privacy Analyst Evaluation'!$A$46:$F$120,4,0),""))&amp;""</f>
        <v/>
      </c>
      <c r="M177" s="216" t="str">
        <f ca="1">IFERROR(VLOOKUP($I177,'Institution Evaluation'!$A$55:$F$346,6,0),IFERROR(VLOOKUP($I177,'Privacy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ht="17">
      <c r="A178" s="216" t="str">
        <f>IFERROR(IF($A177+1&gt;'(backend scoring)'!$T$335,"",$A177+1),"")</f>
        <v/>
      </c>
      <c r="B178" s="216" t="e">
        <f ca="1">_xlfn.XLOOKUP($A178,'(backend scoring)'!$V$2:$V$333,'(backend scoring)'!$A$2:$A$333,"")</f>
        <v>#NAME?</v>
      </c>
      <c r="C178" s="216" t="str">
        <f ca="1">IFERROR(VLOOKUP($B178,'Institution Evaluation'!$A$55:$F$346,2,0),IFERROR(VLOOKUP($B178,'Privacy Analyst Evaluation'!$A$46:$F$120,2,0),""))&amp;""</f>
        <v/>
      </c>
      <c r="D178" s="216" t="str">
        <f ca="1">IFERROR(VLOOKUP($B178,'Institution Evaluation'!$A$55:$F$346,3,0),IFERROR(VLOOKUP($B178,'Privacy Analyst Evaluation'!$A$46:$F$120,3,0),""))&amp;""</f>
        <v/>
      </c>
      <c r="E178" s="216" t="str">
        <f ca="1">IFERROR(VLOOKUP($B178,'Institution Evaluation'!$A$55:$F$346,4,0),IFERROR(VLOOKUP($B178,'Privacy Analyst Evaluation'!$A$46:$F$120,4,0),""))&amp;""</f>
        <v/>
      </c>
      <c r="F178" s="216" t="str">
        <f ca="1">IFERROR(VLOOKUP($B178,'Institution Evaluation'!$A$55:$F$346,6,0),IFERROR(VLOOKUP($B178,'Privacy Analyst Evaluation'!$A$46:$F$120,6,0),""))&amp;""</f>
        <v/>
      </c>
      <c r="G178" s="217"/>
      <c r="H178" s="216" t="str">
        <f>IFERROR(IF($H177+1&gt;'(backend scoring)'!$Q$335,"",$H177+1),"")</f>
        <v/>
      </c>
      <c r="I178" s="216" t="e">
        <f ca="1">_xlfn.XLOOKUP($H178,'(backend scoring)'!$S$2:$S$333,'(backend scoring)'!$A$2:$A$333,"")</f>
        <v>#NAME?</v>
      </c>
      <c r="J178" s="216" t="str">
        <f ca="1">IFERROR(VLOOKUP($I178,'Institution Evaluation'!$A$55:$F$346,2,0),IFERROR(VLOOKUP($I178,'Privacy Analyst Evaluation'!$A$46:$F$120,2,0),""))</f>
        <v/>
      </c>
      <c r="K178" s="216" t="str">
        <f ca="1">IFERROR(VLOOKUP($I178,'Institution Evaluation'!$A$55:$F$346,3,0),IFERROR(VLOOKUP($I178,'Privacy Analyst Evaluation'!$A$46:$F$120,3,0),""))&amp;""</f>
        <v/>
      </c>
      <c r="L178" s="216" t="str">
        <f ca="1">IFERROR(VLOOKUP($I178,'Institution Evaluation'!$A$55:$F$346,4,0),IFERROR(VLOOKUP($I178,'Privacy Analyst Evaluation'!$A$46:$F$120,4,0),""))&amp;""</f>
        <v/>
      </c>
      <c r="M178" s="216" t="str">
        <f ca="1">IFERROR(VLOOKUP($I178,'Institution Evaluation'!$A$55:$F$346,6,0),IFERROR(VLOOKUP($I178,'Privacy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ht="17">
      <c r="A179" s="216" t="str">
        <f>IFERROR(IF($A178+1&gt;'(backend scoring)'!$T$335,"",$A178+1),"")</f>
        <v/>
      </c>
      <c r="B179" s="216" t="e">
        <f ca="1">_xlfn.XLOOKUP($A179,'(backend scoring)'!$V$2:$V$333,'(backend scoring)'!$A$2:$A$333,"")</f>
        <v>#NAME?</v>
      </c>
      <c r="C179" s="216" t="str">
        <f ca="1">IFERROR(VLOOKUP($B179,'Institution Evaluation'!$A$55:$F$346,2,0),IFERROR(VLOOKUP($B179,'Privacy Analyst Evaluation'!$A$46:$F$120,2,0),""))&amp;""</f>
        <v/>
      </c>
      <c r="D179" s="216" t="str">
        <f ca="1">IFERROR(VLOOKUP($B179,'Institution Evaluation'!$A$55:$F$346,3,0),IFERROR(VLOOKUP($B179,'Privacy Analyst Evaluation'!$A$46:$F$120,3,0),""))&amp;""</f>
        <v/>
      </c>
      <c r="E179" s="216" t="str">
        <f ca="1">IFERROR(VLOOKUP($B179,'Institution Evaluation'!$A$55:$F$346,4,0),IFERROR(VLOOKUP($B179,'Privacy Analyst Evaluation'!$A$46:$F$120,4,0),""))&amp;""</f>
        <v/>
      </c>
      <c r="F179" s="216" t="str">
        <f ca="1">IFERROR(VLOOKUP($B179,'Institution Evaluation'!$A$55:$F$346,6,0),IFERROR(VLOOKUP($B179,'Privacy Analyst Evaluation'!$A$46:$F$120,6,0),""))&amp;""</f>
        <v/>
      </c>
      <c r="G179" s="217"/>
      <c r="H179" s="216" t="str">
        <f>IFERROR(IF($H178+1&gt;'(backend scoring)'!$Q$335,"",$H178+1),"")</f>
        <v/>
      </c>
      <c r="I179" s="216" t="e">
        <f ca="1">_xlfn.XLOOKUP($H179,'(backend scoring)'!$S$2:$S$333,'(backend scoring)'!$A$2:$A$333,"")</f>
        <v>#NAME?</v>
      </c>
      <c r="J179" s="216" t="str">
        <f ca="1">IFERROR(VLOOKUP($I179,'Institution Evaluation'!$A$55:$F$346,2,0),IFERROR(VLOOKUP($I179,'Privacy Analyst Evaluation'!$A$46:$F$120,2,0),""))</f>
        <v/>
      </c>
      <c r="K179" s="216" t="str">
        <f ca="1">IFERROR(VLOOKUP($I179,'Institution Evaluation'!$A$55:$F$346,3,0),IFERROR(VLOOKUP($I179,'Privacy Analyst Evaluation'!$A$46:$F$120,3,0),""))&amp;""</f>
        <v/>
      </c>
      <c r="L179" s="216" t="str">
        <f ca="1">IFERROR(VLOOKUP($I179,'Institution Evaluation'!$A$55:$F$346,4,0),IFERROR(VLOOKUP($I179,'Privacy Analyst Evaluation'!$A$46:$F$120,4,0),""))&amp;""</f>
        <v/>
      </c>
      <c r="M179" s="216" t="str">
        <f ca="1">IFERROR(VLOOKUP($I179,'Institution Evaluation'!$A$55:$F$346,6,0),IFERROR(VLOOKUP($I179,'Privacy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ht="17">
      <c r="A180" s="216" t="str">
        <f>IFERROR(IF($A179+1&gt;'(backend scoring)'!$T$335,"",$A179+1),"")</f>
        <v/>
      </c>
      <c r="B180" s="216" t="e">
        <f ca="1">_xlfn.XLOOKUP($A180,'(backend scoring)'!$V$2:$V$333,'(backend scoring)'!$A$2:$A$333,"")</f>
        <v>#NAME?</v>
      </c>
      <c r="C180" s="216" t="str">
        <f ca="1">IFERROR(VLOOKUP($B180,'Institution Evaluation'!$A$55:$F$346,2,0),IFERROR(VLOOKUP($B180,'Privacy Analyst Evaluation'!$A$46:$F$120,2,0),""))&amp;""</f>
        <v/>
      </c>
      <c r="D180" s="216" t="str">
        <f ca="1">IFERROR(VLOOKUP($B180,'Institution Evaluation'!$A$55:$F$346,3,0),IFERROR(VLOOKUP($B180,'Privacy Analyst Evaluation'!$A$46:$F$120,3,0),""))&amp;""</f>
        <v/>
      </c>
      <c r="E180" s="216" t="str">
        <f ca="1">IFERROR(VLOOKUP($B180,'Institution Evaluation'!$A$55:$F$346,4,0),IFERROR(VLOOKUP($B180,'Privacy Analyst Evaluation'!$A$46:$F$120,4,0),""))&amp;""</f>
        <v/>
      </c>
      <c r="F180" s="216" t="str">
        <f ca="1">IFERROR(VLOOKUP($B180,'Institution Evaluation'!$A$55:$F$346,6,0),IFERROR(VLOOKUP($B180,'Privacy Analyst Evaluation'!$A$46:$F$120,6,0),""))&amp;""</f>
        <v/>
      </c>
      <c r="G180" s="217"/>
      <c r="H180" s="216" t="str">
        <f>IFERROR(IF($H179+1&gt;'(backend scoring)'!$Q$335,"",$H179+1),"")</f>
        <v/>
      </c>
      <c r="I180" s="216" t="e">
        <f ca="1">_xlfn.XLOOKUP($H180,'(backend scoring)'!$S$2:$S$333,'(backend scoring)'!$A$2:$A$333,"")</f>
        <v>#NAME?</v>
      </c>
      <c r="J180" s="216" t="str">
        <f ca="1">IFERROR(VLOOKUP($I180,'Institution Evaluation'!$A$55:$F$346,2,0),IFERROR(VLOOKUP($I180,'Privacy Analyst Evaluation'!$A$46:$F$120,2,0),""))</f>
        <v/>
      </c>
      <c r="K180" s="216" t="str">
        <f ca="1">IFERROR(VLOOKUP($I180,'Institution Evaluation'!$A$55:$F$346,3,0),IFERROR(VLOOKUP($I180,'Privacy Analyst Evaluation'!$A$46:$F$120,3,0),""))&amp;""</f>
        <v/>
      </c>
      <c r="L180" s="216" t="str">
        <f ca="1">IFERROR(VLOOKUP($I180,'Institution Evaluation'!$A$55:$F$346,4,0),IFERROR(VLOOKUP($I180,'Privacy Analyst Evaluation'!$A$46:$F$120,4,0),""))&amp;""</f>
        <v/>
      </c>
      <c r="M180" s="216" t="str">
        <f ca="1">IFERROR(VLOOKUP($I180,'Institution Evaluation'!$A$55:$F$346,6,0),IFERROR(VLOOKUP($I180,'Privacy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ht="17">
      <c r="A181" s="216" t="str">
        <f>IFERROR(IF($A180+1&gt;'(backend scoring)'!$T$335,"",$A180+1),"")</f>
        <v/>
      </c>
      <c r="B181" s="216" t="e">
        <f ca="1">_xlfn.XLOOKUP($A181,'(backend scoring)'!$V$2:$V$333,'(backend scoring)'!$A$2:$A$333,"")</f>
        <v>#NAME?</v>
      </c>
      <c r="C181" s="216" t="str">
        <f ca="1">IFERROR(VLOOKUP($B181,'Institution Evaluation'!$A$55:$F$346,2,0),IFERROR(VLOOKUP($B181,'Privacy Analyst Evaluation'!$A$46:$F$120,2,0),""))&amp;""</f>
        <v/>
      </c>
      <c r="D181" s="216" t="str">
        <f ca="1">IFERROR(VLOOKUP($B181,'Institution Evaluation'!$A$55:$F$346,3,0),IFERROR(VLOOKUP($B181,'Privacy Analyst Evaluation'!$A$46:$F$120,3,0),""))&amp;""</f>
        <v/>
      </c>
      <c r="E181" s="216" t="str">
        <f ca="1">IFERROR(VLOOKUP($B181,'Institution Evaluation'!$A$55:$F$346,4,0),IFERROR(VLOOKUP($B181,'Privacy Analyst Evaluation'!$A$46:$F$120,4,0),""))&amp;""</f>
        <v/>
      </c>
      <c r="F181" s="216" t="str">
        <f ca="1">IFERROR(VLOOKUP($B181,'Institution Evaluation'!$A$55:$F$346,6,0),IFERROR(VLOOKUP($B181,'Privacy Analyst Evaluation'!$A$46:$F$120,6,0),""))&amp;""</f>
        <v/>
      </c>
      <c r="G181" s="217"/>
      <c r="H181" s="216" t="str">
        <f>IFERROR(IF($H180+1&gt;'(backend scoring)'!$Q$335,"",$H180+1),"")</f>
        <v/>
      </c>
      <c r="I181" s="216" t="e">
        <f ca="1">_xlfn.XLOOKUP($H181,'(backend scoring)'!$S$2:$S$333,'(backend scoring)'!$A$2:$A$333,"")</f>
        <v>#NAME?</v>
      </c>
      <c r="J181" s="216" t="str">
        <f ca="1">IFERROR(VLOOKUP($I181,'Institution Evaluation'!$A$55:$F$346,2,0),IFERROR(VLOOKUP($I181,'Privacy Analyst Evaluation'!$A$46:$F$120,2,0),""))</f>
        <v/>
      </c>
      <c r="K181" s="216" t="str">
        <f ca="1">IFERROR(VLOOKUP($I181,'Institution Evaluation'!$A$55:$F$346,3,0),IFERROR(VLOOKUP($I181,'Privacy Analyst Evaluation'!$A$46:$F$120,3,0),""))&amp;""</f>
        <v/>
      </c>
      <c r="L181" s="216" t="str">
        <f ca="1">IFERROR(VLOOKUP($I181,'Institution Evaluation'!$A$55:$F$346,4,0),IFERROR(VLOOKUP($I181,'Privacy Analyst Evaluation'!$A$46:$F$120,4,0),""))&amp;""</f>
        <v/>
      </c>
      <c r="M181" s="216" t="str">
        <f ca="1">IFERROR(VLOOKUP($I181,'Institution Evaluation'!$A$55:$F$346,6,0),IFERROR(VLOOKUP($I181,'Privacy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ht="17">
      <c r="A182" s="216" t="str">
        <f>IFERROR(IF($A181+1&gt;'(backend scoring)'!$T$335,"",$A181+1),"")</f>
        <v/>
      </c>
      <c r="B182" s="216" t="e">
        <f ca="1">_xlfn.XLOOKUP($A182,'(backend scoring)'!$V$2:$V$333,'(backend scoring)'!$A$2:$A$333,"")</f>
        <v>#NAME?</v>
      </c>
      <c r="C182" s="216" t="str">
        <f ca="1">IFERROR(VLOOKUP($B182,'Institution Evaluation'!$A$55:$F$346,2,0),IFERROR(VLOOKUP($B182,'Privacy Analyst Evaluation'!$A$46:$F$120,2,0),""))&amp;""</f>
        <v/>
      </c>
      <c r="D182" s="216" t="str">
        <f ca="1">IFERROR(VLOOKUP($B182,'Institution Evaluation'!$A$55:$F$346,3,0),IFERROR(VLOOKUP($B182,'Privacy Analyst Evaluation'!$A$46:$F$120,3,0),""))&amp;""</f>
        <v/>
      </c>
      <c r="E182" s="216" t="str">
        <f ca="1">IFERROR(VLOOKUP($B182,'Institution Evaluation'!$A$55:$F$346,4,0),IFERROR(VLOOKUP($B182,'Privacy Analyst Evaluation'!$A$46:$F$120,4,0),""))&amp;""</f>
        <v/>
      </c>
      <c r="F182" s="216" t="str">
        <f ca="1">IFERROR(VLOOKUP($B182,'Institution Evaluation'!$A$55:$F$346,6,0),IFERROR(VLOOKUP($B182,'Privacy Analyst Evaluation'!$A$46:$F$120,6,0),""))&amp;""</f>
        <v/>
      </c>
      <c r="G182" s="217"/>
      <c r="H182" s="216" t="str">
        <f>IFERROR(IF($H181+1&gt;'(backend scoring)'!$Q$335,"",$H181+1),"")</f>
        <v/>
      </c>
      <c r="I182" s="216" t="e">
        <f ca="1">_xlfn.XLOOKUP($H182,'(backend scoring)'!$S$2:$S$333,'(backend scoring)'!$A$2:$A$333,"")</f>
        <v>#NAME?</v>
      </c>
      <c r="J182" s="216" t="str">
        <f ca="1">IFERROR(VLOOKUP($I182,'Institution Evaluation'!$A$55:$F$346,2,0),IFERROR(VLOOKUP($I182,'Privacy Analyst Evaluation'!$A$46:$F$120,2,0),""))</f>
        <v/>
      </c>
      <c r="K182" s="216" t="str">
        <f ca="1">IFERROR(VLOOKUP($I182,'Institution Evaluation'!$A$55:$F$346,3,0),IFERROR(VLOOKUP($I182,'Privacy Analyst Evaluation'!$A$46:$F$120,3,0),""))&amp;""</f>
        <v/>
      </c>
      <c r="L182" s="216" t="str">
        <f ca="1">IFERROR(VLOOKUP($I182,'Institution Evaluation'!$A$55:$F$346,4,0),IFERROR(VLOOKUP($I182,'Privacy Analyst Evaluation'!$A$46:$F$120,4,0),""))&amp;""</f>
        <v/>
      </c>
      <c r="M182" s="216" t="str">
        <f ca="1">IFERROR(VLOOKUP($I182,'Institution Evaluation'!$A$55:$F$346,6,0),IFERROR(VLOOKUP($I182,'Privacy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ht="17">
      <c r="A183" s="216" t="str">
        <f>IFERROR(IF($A182+1&gt;'(backend scoring)'!$T$335,"",$A182+1),"")</f>
        <v/>
      </c>
      <c r="B183" s="216" t="e">
        <f ca="1">_xlfn.XLOOKUP($A183,'(backend scoring)'!$V$2:$V$333,'(backend scoring)'!$A$2:$A$333,"")</f>
        <v>#NAME?</v>
      </c>
      <c r="C183" s="216" t="str">
        <f ca="1">IFERROR(VLOOKUP($B183,'Institution Evaluation'!$A$55:$F$346,2,0),IFERROR(VLOOKUP($B183,'Privacy Analyst Evaluation'!$A$46:$F$120,2,0),""))&amp;""</f>
        <v/>
      </c>
      <c r="D183" s="216" t="str">
        <f ca="1">IFERROR(VLOOKUP($B183,'Institution Evaluation'!$A$55:$F$346,3,0),IFERROR(VLOOKUP($B183,'Privacy Analyst Evaluation'!$A$46:$F$120,3,0),""))&amp;""</f>
        <v/>
      </c>
      <c r="E183" s="216" t="str">
        <f ca="1">IFERROR(VLOOKUP($B183,'Institution Evaluation'!$A$55:$F$346,4,0),IFERROR(VLOOKUP($B183,'Privacy Analyst Evaluation'!$A$46:$F$120,4,0),""))&amp;""</f>
        <v/>
      </c>
      <c r="F183" s="216" t="str">
        <f ca="1">IFERROR(VLOOKUP($B183,'Institution Evaluation'!$A$55:$F$346,6,0),IFERROR(VLOOKUP($B183,'Privacy Analyst Evaluation'!$A$46:$F$120,6,0),""))&amp;""</f>
        <v/>
      </c>
      <c r="G183" s="217"/>
      <c r="H183" s="216" t="str">
        <f>IFERROR(IF($H182+1&gt;'(backend scoring)'!$Q$335,"",$H182+1),"")</f>
        <v/>
      </c>
      <c r="I183" s="216" t="e">
        <f ca="1">_xlfn.XLOOKUP($H183,'(backend scoring)'!$S$2:$S$333,'(backend scoring)'!$A$2:$A$333,"")</f>
        <v>#NAME?</v>
      </c>
      <c r="J183" s="216" t="str">
        <f ca="1">IFERROR(VLOOKUP($I183,'Institution Evaluation'!$A$55:$F$346,2,0),IFERROR(VLOOKUP($I183,'Privacy Analyst Evaluation'!$A$46:$F$120,2,0),""))</f>
        <v/>
      </c>
      <c r="K183" s="216" t="str">
        <f ca="1">IFERROR(VLOOKUP($I183,'Institution Evaluation'!$A$55:$F$346,3,0),IFERROR(VLOOKUP($I183,'Privacy Analyst Evaluation'!$A$46:$F$120,3,0),""))&amp;""</f>
        <v/>
      </c>
      <c r="L183" s="216" t="str">
        <f ca="1">IFERROR(VLOOKUP($I183,'Institution Evaluation'!$A$55:$F$346,4,0),IFERROR(VLOOKUP($I183,'Privacy Analyst Evaluation'!$A$46:$F$120,4,0),""))&amp;""</f>
        <v/>
      </c>
      <c r="M183" s="216" t="str">
        <f ca="1">IFERROR(VLOOKUP($I183,'Institution Evaluation'!$A$55:$F$346,6,0),IFERROR(VLOOKUP($I183,'Privacy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ht="17">
      <c r="A184" s="216" t="str">
        <f>IFERROR(IF($A183+1&gt;'(backend scoring)'!$T$335,"",$A183+1),"")</f>
        <v/>
      </c>
      <c r="B184" s="216" t="e">
        <f ca="1">_xlfn.XLOOKUP($A184,'(backend scoring)'!$V$2:$V$333,'(backend scoring)'!$A$2:$A$333,"")</f>
        <v>#NAME?</v>
      </c>
      <c r="C184" s="216" t="str">
        <f ca="1">IFERROR(VLOOKUP($B184,'Institution Evaluation'!$A$55:$F$346,2,0),IFERROR(VLOOKUP($B184,'Privacy Analyst Evaluation'!$A$46:$F$120,2,0),""))&amp;""</f>
        <v/>
      </c>
      <c r="D184" s="216" t="str">
        <f ca="1">IFERROR(VLOOKUP($B184,'Institution Evaluation'!$A$55:$F$346,3,0),IFERROR(VLOOKUP($B184,'Privacy Analyst Evaluation'!$A$46:$F$120,3,0),""))&amp;""</f>
        <v/>
      </c>
      <c r="E184" s="216" t="str">
        <f ca="1">IFERROR(VLOOKUP($B184,'Institution Evaluation'!$A$55:$F$346,4,0),IFERROR(VLOOKUP($B184,'Privacy Analyst Evaluation'!$A$46:$F$120,4,0),""))&amp;""</f>
        <v/>
      </c>
      <c r="F184" s="216" t="str">
        <f ca="1">IFERROR(VLOOKUP($B184,'Institution Evaluation'!$A$55:$F$346,6,0),IFERROR(VLOOKUP($B184,'Privacy Analyst Evaluation'!$A$46:$F$120,6,0),""))&amp;""</f>
        <v/>
      </c>
      <c r="G184" s="217"/>
      <c r="H184" s="216" t="str">
        <f>IFERROR(IF($H183+1&gt;'(backend scoring)'!$Q$335,"",$H183+1),"")</f>
        <v/>
      </c>
      <c r="I184" s="216" t="e">
        <f ca="1">_xlfn.XLOOKUP($H184,'(backend scoring)'!$S$2:$S$333,'(backend scoring)'!$A$2:$A$333,"")</f>
        <v>#NAME?</v>
      </c>
      <c r="J184" s="216" t="str">
        <f ca="1">IFERROR(VLOOKUP($I184,'Institution Evaluation'!$A$55:$F$346,2,0),IFERROR(VLOOKUP($I184,'Privacy Analyst Evaluation'!$A$46:$F$120,2,0),""))</f>
        <v/>
      </c>
      <c r="K184" s="216" t="str">
        <f ca="1">IFERROR(VLOOKUP($I184,'Institution Evaluation'!$A$55:$F$346,3,0),IFERROR(VLOOKUP($I184,'Privacy Analyst Evaluation'!$A$46:$F$120,3,0),""))&amp;""</f>
        <v/>
      </c>
      <c r="L184" s="216" t="str">
        <f ca="1">IFERROR(VLOOKUP($I184,'Institution Evaluation'!$A$55:$F$346,4,0),IFERROR(VLOOKUP($I184,'Privacy Analyst Evaluation'!$A$46:$F$120,4,0),""))&amp;""</f>
        <v/>
      </c>
      <c r="M184" s="216" t="str">
        <f ca="1">IFERROR(VLOOKUP($I184,'Institution Evaluation'!$A$55:$F$346,6,0),IFERROR(VLOOKUP($I184,'Privacy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ht="17">
      <c r="A185" s="216" t="str">
        <f>IFERROR(IF($A184+1&gt;'(backend scoring)'!$T$335,"",$A184+1),"")</f>
        <v/>
      </c>
      <c r="B185" s="216" t="e">
        <f ca="1">_xlfn.XLOOKUP($A185,'(backend scoring)'!$V$2:$V$333,'(backend scoring)'!$A$2:$A$333,"")</f>
        <v>#NAME?</v>
      </c>
      <c r="C185" s="216" t="str">
        <f ca="1">IFERROR(VLOOKUP($B185,'Institution Evaluation'!$A$55:$F$346,2,0),IFERROR(VLOOKUP($B185,'Privacy Analyst Evaluation'!$A$46:$F$120,2,0),""))&amp;""</f>
        <v/>
      </c>
      <c r="D185" s="216" t="str">
        <f ca="1">IFERROR(VLOOKUP($B185,'Institution Evaluation'!$A$55:$F$346,3,0),IFERROR(VLOOKUP($B185,'Privacy Analyst Evaluation'!$A$46:$F$120,3,0),""))&amp;""</f>
        <v/>
      </c>
      <c r="E185" s="216" t="str">
        <f ca="1">IFERROR(VLOOKUP($B185,'Institution Evaluation'!$A$55:$F$346,4,0),IFERROR(VLOOKUP($B185,'Privacy Analyst Evaluation'!$A$46:$F$120,4,0),""))&amp;""</f>
        <v/>
      </c>
      <c r="F185" s="216" t="str">
        <f ca="1">IFERROR(VLOOKUP($B185,'Institution Evaluation'!$A$55:$F$346,6,0),IFERROR(VLOOKUP($B185,'Privacy Analyst Evaluation'!$A$46:$F$120,6,0),""))&amp;""</f>
        <v/>
      </c>
      <c r="G185" s="217"/>
      <c r="H185" s="216" t="str">
        <f>IFERROR(IF($H184+1&gt;'(backend scoring)'!$Q$335,"",$H184+1),"")</f>
        <v/>
      </c>
      <c r="I185" s="216" t="e">
        <f ca="1">_xlfn.XLOOKUP($H185,'(backend scoring)'!$S$2:$S$333,'(backend scoring)'!$A$2:$A$333,"")</f>
        <v>#NAME?</v>
      </c>
      <c r="J185" s="216" t="str">
        <f ca="1">IFERROR(VLOOKUP($I185,'Institution Evaluation'!$A$55:$F$346,2,0),IFERROR(VLOOKUP($I185,'Privacy Analyst Evaluation'!$A$46:$F$120,2,0),""))</f>
        <v/>
      </c>
      <c r="K185" s="216" t="str">
        <f ca="1">IFERROR(VLOOKUP($I185,'Institution Evaluation'!$A$55:$F$346,3,0),IFERROR(VLOOKUP($I185,'Privacy Analyst Evaluation'!$A$46:$F$120,3,0),""))&amp;""</f>
        <v/>
      </c>
      <c r="L185" s="216" t="str">
        <f ca="1">IFERROR(VLOOKUP($I185,'Institution Evaluation'!$A$55:$F$346,4,0),IFERROR(VLOOKUP($I185,'Privacy Analyst Evaluation'!$A$46:$F$120,4,0),""))&amp;""</f>
        <v/>
      </c>
      <c r="M185" s="216" t="str">
        <f ca="1">IFERROR(VLOOKUP($I185,'Institution Evaluation'!$A$55:$F$346,6,0),IFERROR(VLOOKUP($I185,'Privacy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ht="17">
      <c r="A186" s="216" t="str">
        <f>IFERROR(IF($A185+1&gt;'(backend scoring)'!$T$335,"",$A185+1),"")</f>
        <v/>
      </c>
      <c r="B186" s="216" t="e">
        <f ca="1">_xlfn.XLOOKUP($A186,'(backend scoring)'!$V$2:$V$333,'(backend scoring)'!$A$2:$A$333,"")</f>
        <v>#NAME?</v>
      </c>
      <c r="C186" s="216" t="str">
        <f ca="1">IFERROR(VLOOKUP($B186,'Institution Evaluation'!$A$55:$F$346,2,0),IFERROR(VLOOKUP($B186,'Privacy Analyst Evaluation'!$A$46:$F$120,2,0),""))&amp;""</f>
        <v/>
      </c>
      <c r="D186" s="216" t="str">
        <f ca="1">IFERROR(VLOOKUP($B186,'Institution Evaluation'!$A$55:$F$346,3,0),IFERROR(VLOOKUP($B186,'Privacy Analyst Evaluation'!$A$46:$F$120,3,0),""))&amp;""</f>
        <v/>
      </c>
      <c r="E186" s="216" t="str">
        <f ca="1">IFERROR(VLOOKUP($B186,'Institution Evaluation'!$A$55:$F$346,4,0),IFERROR(VLOOKUP($B186,'Privacy Analyst Evaluation'!$A$46:$F$120,4,0),""))&amp;""</f>
        <v/>
      </c>
      <c r="F186" s="216" t="str">
        <f ca="1">IFERROR(VLOOKUP($B186,'Institution Evaluation'!$A$55:$F$346,6,0),IFERROR(VLOOKUP($B186,'Privacy Analyst Evaluation'!$A$46:$F$120,6,0),""))&amp;""</f>
        <v/>
      </c>
      <c r="G186" s="217"/>
      <c r="H186" s="216" t="str">
        <f>IFERROR(IF($H185+1&gt;'(backend scoring)'!$Q$335,"",$H185+1),"")</f>
        <v/>
      </c>
      <c r="I186" s="216" t="e">
        <f ca="1">_xlfn.XLOOKUP($H186,'(backend scoring)'!$S$2:$S$333,'(backend scoring)'!$A$2:$A$333,"")</f>
        <v>#NAME?</v>
      </c>
      <c r="J186" s="216" t="str">
        <f ca="1">IFERROR(VLOOKUP($I186,'Institution Evaluation'!$A$55:$F$346,2,0),IFERROR(VLOOKUP($I186,'Privacy Analyst Evaluation'!$A$46:$F$120,2,0),""))</f>
        <v/>
      </c>
      <c r="K186" s="216" t="str">
        <f ca="1">IFERROR(VLOOKUP($I186,'Institution Evaluation'!$A$55:$F$346,3,0),IFERROR(VLOOKUP($I186,'Privacy Analyst Evaluation'!$A$46:$F$120,3,0),""))&amp;""</f>
        <v/>
      </c>
      <c r="L186" s="216" t="str">
        <f ca="1">IFERROR(VLOOKUP($I186,'Institution Evaluation'!$A$55:$F$346,4,0),IFERROR(VLOOKUP($I186,'Privacy Analyst Evaluation'!$A$46:$F$120,4,0),""))&amp;""</f>
        <v/>
      </c>
      <c r="M186" s="216" t="str">
        <f ca="1">IFERROR(VLOOKUP($I186,'Institution Evaluation'!$A$55:$F$346,6,0),IFERROR(VLOOKUP($I186,'Privacy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ht="17">
      <c r="A187" s="216" t="str">
        <f>IFERROR(IF($A186+1&gt;'(backend scoring)'!$T$335,"",$A186+1),"")</f>
        <v/>
      </c>
      <c r="B187" s="216" t="e">
        <f ca="1">_xlfn.XLOOKUP($A187,'(backend scoring)'!$V$2:$V$333,'(backend scoring)'!$A$2:$A$333,"")</f>
        <v>#NAME?</v>
      </c>
      <c r="C187" s="216" t="str">
        <f ca="1">IFERROR(VLOOKUP($B187,'Institution Evaluation'!$A$55:$F$346,2,0),IFERROR(VLOOKUP($B187,'Privacy Analyst Evaluation'!$A$46:$F$120,2,0),""))&amp;""</f>
        <v/>
      </c>
      <c r="D187" s="216" t="str">
        <f ca="1">IFERROR(VLOOKUP($B187,'Institution Evaluation'!$A$55:$F$346,3,0),IFERROR(VLOOKUP($B187,'Privacy Analyst Evaluation'!$A$46:$F$120,3,0),""))&amp;""</f>
        <v/>
      </c>
      <c r="E187" s="216" t="str">
        <f ca="1">IFERROR(VLOOKUP($B187,'Institution Evaluation'!$A$55:$F$346,4,0),IFERROR(VLOOKUP($B187,'Privacy Analyst Evaluation'!$A$46:$F$120,4,0),""))&amp;""</f>
        <v/>
      </c>
      <c r="F187" s="216" t="str">
        <f ca="1">IFERROR(VLOOKUP($B187,'Institution Evaluation'!$A$55:$F$346,6,0),IFERROR(VLOOKUP($B187,'Privacy Analyst Evaluation'!$A$46:$F$120,6,0),""))&amp;""</f>
        <v/>
      </c>
      <c r="G187" s="217"/>
      <c r="H187" s="216" t="str">
        <f>IFERROR(IF($H186+1&gt;'(backend scoring)'!$Q$335,"",$H186+1),"")</f>
        <v/>
      </c>
      <c r="I187" s="216" t="e">
        <f ca="1">_xlfn.XLOOKUP($H187,'(backend scoring)'!$S$2:$S$333,'(backend scoring)'!$A$2:$A$333,"")</f>
        <v>#NAME?</v>
      </c>
      <c r="J187" s="216" t="str">
        <f ca="1">IFERROR(VLOOKUP($I187,'Institution Evaluation'!$A$55:$F$346,2,0),IFERROR(VLOOKUP($I187,'Privacy Analyst Evaluation'!$A$46:$F$120,2,0),""))</f>
        <v/>
      </c>
      <c r="K187" s="216" t="str">
        <f ca="1">IFERROR(VLOOKUP($I187,'Institution Evaluation'!$A$55:$F$346,3,0),IFERROR(VLOOKUP($I187,'Privacy Analyst Evaluation'!$A$46:$F$120,3,0),""))&amp;""</f>
        <v/>
      </c>
      <c r="L187" s="216" t="str">
        <f ca="1">IFERROR(VLOOKUP($I187,'Institution Evaluation'!$A$55:$F$346,4,0),IFERROR(VLOOKUP($I187,'Privacy Analyst Evaluation'!$A$46:$F$120,4,0),""))&amp;""</f>
        <v/>
      </c>
      <c r="M187" s="216" t="str">
        <f ca="1">IFERROR(VLOOKUP($I187,'Institution Evaluation'!$A$55:$F$346,6,0),IFERROR(VLOOKUP($I187,'Privacy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ht="17">
      <c r="A188" s="216" t="str">
        <f>IFERROR(IF($A187+1&gt;'(backend scoring)'!$T$335,"",$A187+1),"")</f>
        <v/>
      </c>
      <c r="B188" s="216" t="e">
        <f ca="1">_xlfn.XLOOKUP($A188,'(backend scoring)'!$V$2:$V$333,'(backend scoring)'!$A$2:$A$333,"")</f>
        <v>#NAME?</v>
      </c>
      <c r="C188" s="216" t="str">
        <f ca="1">IFERROR(VLOOKUP($B188,'Institution Evaluation'!$A$55:$F$346,2,0),IFERROR(VLOOKUP($B188,'Privacy Analyst Evaluation'!$A$46:$F$120,2,0),""))&amp;""</f>
        <v/>
      </c>
      <c r="D188" s="216" t="str">
        <f ca="1">IFERROR(VLOOKUP($B188,'Institution Evaluation'!$A$55:$F$346,3,0),IFERROR(VLOOKUP($B188,'Privacy Analyst Evaluation'!$A$46:$F$120,3,0),""))&amp;""</f>
        <v/>
      </c>
      <c r="E188" s="216" t="str">
        <f ca="1">IFERROR(VLOOKUP($B188,'Institution Evaluation'!$A$55:$F$346,4,0),IFERROR(VLOOKUP($B188,'Privacy Analyst Evaluation'!$A$46:$F$120,4,0),""))&amp;""</f>
        <v/>
      </c>
      <c r="F188" s="216" t="str">
        <f ca="1">IFERROR(VLOOKUP($B188,'Institution Evaluation'!$A$55:$F$346,6,0),IFERROR(VLOOKUP($B188,'Privacy Analyst Evaluation'!$A$46:$F$120,6,0),""))&amp;""</f>
        <v/>
      </c>
      <c r="G188" s="217"/>
      <c r="H188" s="216" t="str">
        <f>IFERROR(IF($H187+1&gt;'(backend scoring)'!$Q$335,"",$H187+1),"")</f>
        <v/>
      </c>
      <c r="I188" s="216" t="e">
        <f ca="1">_xlfn.XLOOKUP($H188,'(backend scoring)'!$S$2:$S$333,'(backend scoring)'!$A$2:$A$333,"")</f>
        <v>#NAME?</v>
      </c>
      <c r="J188" s="216" t="str">
        <f ca="1">IFERROR(VLOOKUP($I188,'Institution Evaluation'!$A$55:$F$346,2,0),IFERROR(VLOOKUP($I188,'Privacy Analyst Evaluation'!$A$46:$F$120,2,0),""))</f>
        <v/>
      </c>
      <c r="K188" s="216" t="str">
        <f ca="1">IFERROR(VLOOKUP($I188,'Institution Evaluation'!$A$55:$F$346,3,0),IFERROR(VLOOKUP($I188,'Privacy Analyst Evaluation'!$A$46:$F$120,3,0),""))&amp;""</f>
        <v/>
      </c>
      <c r="L188" s="216" t="str">
        <f ca="1">IFERROR(VLOOKUP($I188,'Institution Evaluation'!$A$55:$F$346,4,0),IFERROR(VLOOKUP($I188,'Privacy Analyst Evaluation'!$A$46:$F$120,4,0),""))&amp;""</f>
        <v/>
      </c>
      <c r="M188" s="216" t="str">
        <f ca="1">IFERROR(VLOOKUP($I188,'Institution Evaluation'!$A$55:$F$346,6,0),IFERROR(VLOOKUP($I188,'Privacy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ht="17">
      <c r="A189" s="216" t="str">
        <f>IFERROR(IF($A188+1&gt;'(backend scoring)'!$T$335,"",$A188+1),"")</f>
        <v/>
      </c>
      <c r="B189" s="216" t="e">
        <f ca="1">_xlfn.XLOOKUP($A189,'(backend scoring)'!$V$2:$V$333,'(backend scoring)'!$A$2:$A$333,"")</f>
        <v>#NAME?</v>
      </c>
      <c r="C189" s="216" t="str">
        <f ca="1">IFERROR(VLOOKUP($B189,'Institution Evaluation'!$A$55:$F$346,2,0),IFERROR(VLOOKUP($B189,'Privacy Analyst Evaluation'!$A$46:$F$120,2,0),""))&amp;""</f>
        <v/>
      </c>
      <c r="D189" s="216" t="str">
        <f ca="1">IFERROR(VLOOKUP($B189,'Institution Evaluation'!$A$55:$F$346,3,0),IFERROR(VLOOKUP($B189,'Privacy Analyst Evaluation'!$A$46:$F$120,3,0),""))&amp;""</f>
        <v/>
      </c>
      <c r="E189" s="216" t="str">
        <f ca="1">IFERROR(VLOOKUP($B189,'Institution Evaluation'!$A$55:$F$346,4,0),IFERROR(VLOOKUP($B189,'Privacy Analyst Evaluation'!$A$46:$F$120,4,0),""))&amp;""</f>
        <v/>
      </c>
      <c r="F189" s="216" t="str">
        <f ca="1">IFERROR(VLOOKUP($B189,'Institution Evaluation'!$A$55:$F$346,6,0),IFERROR(VLOOKUP($B189,'Privacy Analyst Evaluation'!$A$46:$F$120,6,0),""))&amp;""</f>
        <v/>
      </c>
      <c r="G189" s="217"/>
      <c r="H189" s="216" t="str">
        <f>IFERROR(IF($H188+1&gt;'(backend scoring)'!$Q$335,"",$H188+1),"")</f>
        <v/>
      </c>
      <c r="I189" s="216" t="e">
        <f ca="1">_xlfn.XLOOKUP($H189,'(backend scoring)'!$S$2:$S$333,'(backend scoring)'!$A$2:$A$333,"")</f>
        <v>#NAME?</v>
      </c>
      <c r="J189" s="216" t="str">
        <f ca="1">IFERROR(VLOOKUP($I189,'Institution Evaluation'!$A$55:$F$346,2,0),IFERROR(VLOOKUP($I189,'Privacy Analyst Evaluation'!$A$46:$F$120,2,0),""))</f>
        <v/>
      </c>
      <c r="K189" s="216" t="str">
        <f ca="1">IFERROR(VLOOKUP($I189,'Institution Evaluation'!$A$55:$F$346,3,0),IFERROR(VLOOKUP($I189,'Privacy Analyst Evaluation'!$A$46:$F$120,3,0),""))&amp;""</f>
        <v/>
      </c>
      <c r="L189" s="216" t="str">
        <f ca="1">IFERROR(VLOOKUP($I189,'Institution Evaluation'!$A$55:$F$346,4,0),IFERROR(VLOOKUP($I189,'Privacy Analyst Evaluation'!$A$46:$F$120,4,0),""))&amp;""</f>
        <v/>
      </c>
      <c r="M189" s="216" t="str">
        <f ca="1">IFERROR(VLOOKUP($I189,'Institution Evaluation'!$A$55:$F$346,6,0),IFERROR(VLOOKUP($I189,'Privacy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ht="17">
      <c r="A190" s="216" t="str">
        <f>IFERROR(IF($A189+1&gt;'(backend scoring)'!$T$335,"",$A189+1),"")</f>
        <v/>
      </c>
      <c r="B190" s="216" t="e">
        <f ca="1">_xlfn.XLOOKUP($A190,'(backend scoring)'!$V$2:$V$333,'(backend scoring)'!$A$2:$A$333,"")</f>
        <v>#NAME?</v>
      </c>
      <c r="C190" s="216" t="str">
        <f ca="1">IFERROR(VLOOKUP($B190,'Institution Evaluation'!$A$55:$F$346,2,0),IFERROR(VLOOKUP($B190,'Privacy Analyst Evaluation'!$A$46:$F$120,2,0),""))&amp;""</f>
        <v/>
      </c>
      <c r="D190" s="216" t="str">
        <f ca="1">IFERROR(VLOOKUP($B190,'Institution Evaluation'!$A$55:$F$346,3,0),IFERROR(VLOOKUP($B190,'Privacy Analyst Evaluation'!$A$46:$F$120,3,0),""))&amp;""</f>
        <v/>
      </c>
      <c r="E190" s="216" t="str">
        <f ca="1">IFERROR(VLOOKUP($B190,'Institution Evaluation'!$A$55:$F$346,4,0),IFERROR(VLOOKUP($B190,'Privacy Analyst Evaluation'!$A$46:$F$120,4,0),""))&amp;""</f>
        <v/>
      </c>
      <c r="F190" s="216" t="str">
        <f ca="1">IFERROR(VLOOKUP($B190,'Institution Evaluation'!$A$55:$F$346,6,0),IFERROR(VLOOKUP($B190,'Privacy Analyst Evaluation'!$A$46:$F$120,6,0),""))&amp;""</f>
        <v/>
      </c>
      <c r="G190" s="217"/>
      <c r="H190" s="216" t="str">
        <f>IFERROR(IF($H189+1&gt;'(backend scoring)'!$Q$335,"",$H189+1),"")</f>
        <v/>
      </c>
      <c r="I190" s="216" t="e">
        <f ca="1">_xlfn.XLOOKUP($H190,'(backend scoring)'!$S$2:$S$333,'(backend scoring)'!$A$2:$A$333,"")</f>
        <v>#NAME?</v>
      </c>
      <c r="J190" s="216" t="str">
        <f ca="1">IFERROR(VLOOKUP($I190,'Institution Evaluation'!$A$55:$F$346,2,0),IFERROR(VLOOKUP($I190,'Privacy Analyst Evaluation'!$A$46:$F$120,2,0),""))</f>
        <v/>
      </c>
      <c r="K190" s="216" t="str">
        <f ca="1">IFERROR(VLOOKUP($I190,'Institution Evaluation'!$A$55:$F$346,3,0),IFERROR(VLOOKUP($I190,'Privacy Analyst Evaluation'!$A$46:$F$120,3,0),""))&amp;""</f>
        <v/>
      </c>
      <c r="L190" s="216" t="str">
        <f ca="1">IFERROR(VLOOKUP($I190,'Institution Evaluation'!$A$55:$F$346,4,0),IFERROR(VLOOKUP($I190,'Privacy Analyst Evaluation'!$A$46:$F$120,4,0),""))&amp;""</f>
        <v/>
      </c>
      <c r="M190" s="216" t="str">
        <f ca="1">IFERROR(VLOOKUP($I190,'Institution Evaluation'!$A$55:$F$346,6,0),IFERROR(VLOOKUP($I190,'Privacy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ht="17">
      <c r="A191" s="216" t="str">
        <f>IFERROR(IF($A190+1&gt;'(backend scoring)'!$T$335,"",$A190+1),"")</f>
        <v/>
      </c>
      <c r="B191" s="216" t="e">
        <f ca="1">_xlfn.XLOOKUP($A191,'(backend scoring)'!$V$2:$V$333,'(backend scoring)'!$A$2:$A$333,"")</f>
        <v>#NAME?</v>
      </c>
      <c r="C191" s="216" t="str">
        <f ca="1">IFERROR(VLOOKUP($B191,'Institution Evaluation'!$A$55:$F$346,2,0),IFERROR(VLOOKUP($B191,'Privacy Analyst Evaluation'!$A$46:$F$120,2,0),""))&amp;""</f>
        <v/>
      </c>
      <c r="D191" s="216" t="str">
        <f ca="1">IFERROR(VLOOKUP($B191,'Institution Evaluation'!$A$55:$F$346,3,0),IFERROR(VLOOKUP($B191,'Privacy Analyst Evaluation'!$A$46:$F$120,3,0),""))&amp;""</f>
        <v/>
      </c>
      <c r="E191" s="216" t="str">
        <f ca="1">IFERROR(VLOOKUP($B191,'Institution Evaluation'!$A$55:$F$346,4,0),IFERROR(VLOOKUP($B191,'Privacy Analyst Evaluation'!$A$46:$F$120,4,0),""))&amp;""</f>
        <v/>
      </c>
      <c r="F191" s="216" t="str">
        <f ca="1">IFERROR(VLOOKUP($B191,'Institution Evaluation'!$A$55:$F$346,6,0),IFERROR(VLOOKUP($B191,'Privacy Analyst Evaluation'!$A$46:$F$120,6,0),""))&amp;""</f>
        <v/>
      </c>
      <c r="G191" s="217"/>
      <c r="H191" s="216" t="str">
        <f>IFERROR(IF($H190+1&gt;'(backend scoring)'!$Q$335,"",$H190+1),"")</f>
        <v/>
      </c>
      <c r="I191" s="216" t="e">
        <f ca="1">_xlfn.XLOOKUP($H191,'(backend scoring)'!$S$2:$S$333,'(backend scoring)'!$A$2:$A$333,"")</f>
        <v>#NAME?</v>
      </c>
      <c r="J191" s="216" t="str">
        <f ca="1">IFERROR(VLOOKUP($I191,'Institution Evaluation'!$A$55:$F$346,2,0),IFERROR(VLOOKUP($I191,'Privacy Analyst Evaluation'!$A$46:$F$120,2,0),""))</f>
        <v/>
      </c>
      <c r="K191" s="216" t="str">
        <f ca="1">IFERROR(VLOOKUP($I191,'Institution Evaluation'!$A$55:$F$346,3,0),IFERROR(VLOOKUP($I191,'Privacy Analyst Evaluation'!$A$46:$F$120,3,0),""))&amp;""</f>
        <v/>
      </c>
      <c r="L191" s="216" t="str">
        <f ca="1">IFERROR(VLOOKUP($I191,'Institution Evaluation'!$A$55:$F$346,4,0),IFERROR(VLOOKUP($I191,'Privacy Analyst Evaluation'!$A$46:$F$120,4,0),""))&amp;""</f>
        <v/>
      </c>
      <c r="M191" s="216" t="str">
        <f ca="1">IFERROR(VLOOKUP($I191,'Institution Evaluation'!$A$55:$F$346,6,0),IFERROR(VLOOKUP($I191,'Privacy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ht="17">
      <c r="A192" s="216" t="str">
        <f>IFERROR(IF($A191+1&gt;'(backend scoring)'!$T$335,"",$A191+1),"")</f>
        <v/>
      </c>
      <c r="B192" s="216" t="e">
        <f ca="1">_xlfn.XLOOKUP($A192,'(backend scoring)'!$V$2:$V$333,'(backend scoring)'!$A$2:$A$333,"")</f>
        <v>#NAME?</v>
      </c>
      <c r="C192" s="216" t="str">
        <f ca="1">IFERROR(VLOOKUP($B192,'Institution Evaluation'!$A$55:$F$346,2,0),IFERROR(VLOOKUP($B192,'Privacy Analyst Evaluation'!$A$46:$F$120,2,0),""))&amp;""</f>
        <v/>
      </c>
      <c r="D192" s="216" t="str">
        <f ca="1">IFERROR(VLOOKUP($B192,'Institution Evaluation'!$A$55:$F$346,3,0),IFERROR(VLOOKUP($B192,'Privacy Analyst Evaluation'!$A$46:$F$120,3,0),""))&amp;""</f>
        <v/>
      </c>
      <c r="E192" s="216" t="str">
        <f ca="1">IFERROR(VLOOKUP($B192,'Institution Evaluation'!$A$55:$F$346,4,0),IFERROR(VLOOKUP($B192,'Privacy Analyst Evaluation'!$A$46:$F$120,4,0),""))&amp;""</f>
        <v/>
      </c>
      <c r="F192" s="216" t="str">
        <f ca="1">IFERROR(VLOOKUP($B192,'Institution Evaluation'!$A$55:$F$346,6,0),IFERROR(VLOOKUP($B192,'Privacy Analyst Evaluation'!$A$46:$F$120,6,0),""))&amp;""</f>
        <v/>
      </c>
      <c r="G192" s="217"/>
      <c r="H192" s="216" t="str">
        <f>IFERROR(IF($H191+1&gt;'(backend scoring)'!$Q$335,"",$H191+1),"")</f>
        <v/>
      </c>
      <c r="I192" s="216" t="e">
        <f ca="1">_xlfn.XLOOKUP($H192,'(backend scoring)'!$S$2:$S$333,'(backend scoring)'!$A$2:$A$333,"")</f>
        <v>#NAME?</v>
      </c>
      <c r="J192" s="216" t="str">
        <f ca="1">IFERROR(VLOOKUP($I192,'Institution Evaluation'!$A$55:$F$346,2,0),IFERROR(VLOOKUP($I192,'Privacy Analyst Evaluation'!$A$46:$F$120,2,0),""))</f>
        <v/>
      </c>
      <c r="K192" s="216" t="str">
        <f ca="1">IFERROR(VLOOKUP($I192,'Institution Evaluation'!$A$55:$F$346,3,0),IFERROR(VLOOKUP($I192,'Privacy Analyst Evaluation'!$A$46:$F$120,3,0),""))&amp;""</f>
        <v/>
      </c>
      <c r="L192" s="216" t="str">
        <f ca="1">IFERROR(VLOOKUP($I192,'Institution Evaluation'!$A$55:$F$346,4,0),IFERROR(VLOOKUP($I192,'Privacy Analyst Evaluation'!$A$46:$F$120,4,0),""))&amp;""</f>
        <v/>
      </c>
      <c r="M192" s="216" t="str">
        <f ca="1">IFERROR(VLOOKUP($I192,'Institution Evaluation'!$A$55:$F$346,6,0),IFERROR(VLOOKUP($I192,'Privacy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ht="17">
      <c r="A193" s="216" t="str">
        <f>IFERROR(IF($A192+1&gt;'(backend scoring)'!$T$335,"",$A192+1),"")</f>
        <v/>
      </c>
      <c r="B193" s="216" t="e">
        <f ca="1">_xlfn.XLOOKUP($A193,'(backend scoring)'!$V$2:$V$333,'(backend scoring)'!$A$2:$A$333,"")</f>
        <v>#NAME?</v>
      </c>
      <c r="C193" s="216" t="str">
        <f ca="1">IFERROR(VLOOKUP($B193,'Institution Evaluation'!$A$55:$F$346,2,0),IFERROR(VLOOKUP($B193,'Privacy Analyst Evaluation'!$A$46:$F$120,2,0),""))&amp;""</f>
        <v/>
      </c>
      <c r="D193" s="216" t="str">
        <f ca="1">IFERROR(VLOOKUP($B193,'Institution Evaluation'!$A$55:$F$346,3,0),IFERROR(VLOOKUP($B193,'Privacy Analyst Evaluation'!$A$46:$F$120,3,0),""))&amp;""</f>
        <v/>
      </c>
      <c r="E193" s="216" t="str">
        <f ca="1">IFERROR(VLOOKUP($B193,'Institution Evaluation'!$A$55:$F$346,4,0),IFERROR(VLOOKUP($B193,'Privacy Analyst Evaluation'!$A$46:$F$120,4,0),""))&amp;""</f>
        <v/>
      </c>
      <c r="F193" s="216" t="str">
        <f ca="1">IFERROR(VLOOKUP($B193,'Institution Evaluation'!$A$55:$F$346,6,0),IFERROR(VLOOKUP($B193,'Privacy Analyst Evaluation'!$A$46:$F$120,6,0),""))&amp;""</f>
        <v/>
      </c>
      <c r="G193" s="217"/>
      <c r="H193" s="216" t="str">
        <f>IFERROR(IF($H192+1&gt;'(backend scoring)'!$Q$335,"",$H192+1),"")</f>
        <v/>
      </c>
      <c r="I193" s="216" t="e">
        <f ca="1">_xlfn.XLOOKUP($H193,'(backend scoring)'!$S$2:$S$333,'(backend scoring)'!$A$2:$A$333,"")</f>
        <v>#NAME?</v>
      </c>
      <c r="J193" s="216" t="str">
        <f ca="1">IFERROR(VLOOKUP($I193,'Institution Evaluation'!$A$55:$F$346,2,0),IFERROR(VLOOKUP($I193,'Privacy Analyst Evaluation'!$A$46:$F$120,2,0),""))</f>
        <v/>
      </c>
      <c r="K193" s="216" t="str">
        <f ca="1">IFERROR(VLOOKUP($I193,'Institution Evaluation'!$A$55:$F$346,3,0),IFERROR(VLOOKUP($I193,'Privacy Analyst Evaluation'!$A$46:$F$120,3,0),""))&amp;""</f>
        <v/>
      </c>
      <c r="L193" s="216" t="str">
        <f ca="1">IFERROR(VLOOKUP($I193,'Institution Evaluation'!$A$55:$F$346,4,0),IFERROR(VLOOKUP($I193,'Privacy Analyst Evaluation'!$A$46:$F$120,4,0),""))&amp;""</f>
        <v/>
      </c>
      <c r="M193" s="216" t="str">
        <f ca="1">IFERROR(VLOOKUP($I193,'Institution Evaluation'!$A$55:$F$346,6,0),IFERROR(VLOOKUP($I193,'Privacy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ht="17">
      <c r="A194" s="216" t="str">
        <f>IFERROR(IF($A193+1&gt;'(backend scoring)'!$T$335,"",$A193+1),"")</f>
        <v/>
      </c>
      <c r="B194" s="216" t="e">
        <f ca="1">_xlfn.XLOOKUP($A194,'(backend scoring)'!$V$2:$V$333,'(backend scoring)'!$A$2:$A$333,"")</f>
        <v>#NAME?</v>
      </c>
      <c r="C194" s="216" t="str">
        <f ca="1">IFERROR(VLOOKUP($B194,'Institution Evaluation'!$A$55:$F$346,2,0),IFERROR(VLOOKUP($B194,'Privacy Analyst Evaluation'!$A$46:$F$120,2,0),""))&amp;""</f>
        <v/>
      </c>
      <c r="D194" s="216" t="str">
        <f ca="1">IFERROR(VLOOKUP($B194,'Institution Evaluation'!$A$55:$F$346,3,0),IFERROR(VLOOKUP($B194,'Privacy Analyst Evaluation'!$A$46:$F$120,3,0),""))&amp;""</f>
        <v/>
      </c>
      <c r="E194" s="216" t="str">
        <f ca="1">IFERROR(VLOOKUP($B194,'Institution Evaluation'!$A$55:$F$346,4,0),IFERROR(VLOOKUP($B194,'Privacy Analyst Evaluation'!$A$46:$F$120,4,0),""))&amp;""</f>
        <v/>
      </c>
      <c r="F194" s="216" t="str">
        <f ca="1">IFERROR(VLOOKUP($B194,'Institution Evaluation'!$A$55:$F$346,6,0),IFERROR(VLOOKUP($B194,'Privacy Analyst Evaluation'!$A$46:$F$120,6,0),""))&amp;""</f>
        <v/>
      </c>
      <c r="G194" s="217"/>
      <c r="H194" s="216" t="str">
        <f>IFERROR(IF($H193+1&gt;'(backend scoring)'!$Q$335,"",$H193+1),"")</f>
        <v/>
      </c>
      <c r="I194" s="216" t="e">
        <f ca="1">_xlfn.XLOOKUP($H194,'(backend scoring)'!$S$2:$S$333,'(backend scoring)'!$A$2:$A$333,"")</f>
        <v>#NAME?</v>
      </c>
      <c r="J194" s="216" t="str">
        <f ca="1">IFERROR(VLOOKUP($I194,'Institution Evaluation'!$A$55:$F$346,2,0),IFERROR(VLOOKUP($I194,'Privacy Analyst Evaluation'!$A$46:$F$120,2,0),""))</f>
        <v/>
      </c>
      <c r="K194" s="216" t="str">
        <f ca="1">IFERROR(VLOOKUP($I194,'Institution Evaluation'!$A$55:$F$346,3,0),IFERROR(VLOOKUP($I194,'Privacy Analyst Evaluation'!$A$46:$F$120,3,0),""))&amp;""</f>
        <v/>
      </c>
      <c r="L194" s="216" t="str">
        <f ca="1">IFERROR(VLOOKUP($I194,'Institution Evaluation'!$A$55:$F$346,4,0),IFERROR(VLOOKUP($I194,'Privacy Analyst Evaluation'!$A$46:$F$120,4,0),""))&amp;""</f>
        <v/>
      </c>
      <c r="M194" s="216" t="str">
        <f ca="1">IFERROR(VLOOKUP($I194,'Institution Evaluation'!$A$55:$F$346,6,0),IFERROR(VLOOKUP($I194,'Privacy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ht="17">
      <c r="A195" s="216" t="str">
        <f>IFERROR(IF($A194+1&gt;'(backend scoring)'!$T$335,"",$A194+1),"")</f>
        <v/>
      </c>
      <c r="B195" s="216" t="e">
        <f ca="1">_xlfn.XLOOKUP($A195,'(backend scoring)'!$V$2:$V$333,'(backend scoring)'!$A$2:$A$333,"")</f>
        <v>#NAME?</v>
      </c>
      <c r="C195" s="216" t="str">
        <f ca="1">IFERROR(VLOOKUP($B195,'Institution Evaluation'!$A$55:$F$346,2,0),IFERROR(VLOOKUP($B195,'Privacy Analyst Evaluation'!$A$46:$F$120,2,0),""))&amp;""</f>
        <v/>
      </c>
      <c r="D195" s="216" t="str">
        <f ca="1">IFERROR(VLOOKUP($B195,'Institution Evaluation'!$A$55:$F$346,3,0),IFERROR(VLOOKUP($B195,'Privacy Analyst Evaluation'!$A$46:$F$120,3,0),""))&amp;""</f>
        <v/>
      </c>
      <c r="E195" s="216" t="str">
        <f ca="1">IFERROR(VLOOKUP($B195,'Institution Evaluation'!$A$55:$F$346,4,0),IFERROR(VLOOKUP($B195,'Privacy Analyst Evaluation'!$A$46:$F$120,4,0),""))&amp;""</f>
        <v/>
      </c>
      <c r="F195" s="216" t="str">
        <f ca="1">IFERROR(VLOOKUP($B195,'Institution Evaluation'!$A$55:$F$346,6,0),IFERROR(VLOOKUP($B195,'Privacy Analyst Evaluation'!$A$46:$F$120,6,0),""))&amp;""</f>
        <v/>
      </c>
      <c r="G195" s="217"/>
      <c r="H195" s="216" t="str">
        <f>IFERROR(IF($H194+1&gt;'(backend scoring)'!$Q$335,"",$H194+1),"")</f>
        <v/>
      </c>
      <c r="I195" s="216" t="e">
        <f ca="1">_xlfn.XLOOKUP($H195,'(backend scoring)'!$S$2:$S$333,'(backend scoring)'!$A$2:$A$333,"")</f>
        <v>#NAME?</v>
      </c>
      <c r="J195" s="216" t="str">
        <f ca="1">IFERROR(VLOOKUP($I195,'Institution Evaluation'!$A$55:$F$346,2,0),IFERROR(VLOOKUP($I195,'Privacy Analyst Evaluation'!$A$46:$F$120,2,0),""))</f>
        <v/>
      </c>
      <c r="K195" s="216" t="str">
        <f ca="1">IFERROR(VLOOKUP($I195,'Institution Evaluation'!$A$55:$F$346,3,0),IFERROR(VLOOKUP($I195,'Privacy Analyst Evaluation'!$A$46:$F$120,3,0),""))&amp;""</f>
        <v/>
      </c>
      <c r="L195" s="216" t="str">
        <f ca="1">IFERROR(VLOOKUP($I195,'Institution Evaluation'!$A$55:$F$346,4,0),IFERROR(VLOOKUP($I195,'Privacy Analyst Evaluation'!$A$46:$F$120,4,0),""))&amp;""</f>
        <v/>
      </c>
      <c r="M195" s="216" t="str">
        <f ca="1">IFERROR(VLOOKUP($I195,'Institution Evaluation'!$A$55:$F$346,6,0),IFERROR(VLOOKUP($I195,'Privacy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ht="17">
      <c r="A196" s="216" t="str">
        <f>IFERROR(IF($A195+1&gt;'(backend scoring)'!$T$335,"",$A195+1),"")</f>
        <v/>
      </c>
      <c r="B196" s="216" t="e">
        <f ca="1">_xlfn.XLOOKUP($A196,'(backend scoring)'!$V$2:$V$333,'(backend scoring)'!$A$2:$A$333,"")</f>
        <v>#NAME?</v>
      </c>
      <c r="C196" s="216" t="str">
        <f ca="1">IFERROR(VLOOKUP($B196,'Institution Evaluation'!$A$55:$F$346,2,0),IFERROR(VLOOKUP($B196,'Privacy Analyst Evaluation'!$A$46:$F$120,2,0),""))&amp;""</f>
        <v/>
      </c>
      <c r="D196" s="216" t="str">
        <f ca="1">IFERROR(VLOOKUP($B196,'Institution Evaluation'!$A$55:$F$346,3,0),IFERROR(VLOOKUP($B196,'Privacy Analyst Evaluation'!$A$46:$F$120,3,0),""))&amp;""</f>
        <v/>
      </c>
      <c r="E196" s="216" t="str">
        <f ca="1">IFERROR(VLOOKUP($B196,'Institution Evaluation'!$A$55:$F$346,4,0),IFERROR(VLOOKUP($B196,'Privacy Analyst Evaluation'!$A$46:$F$120,4,0),""))&amp;""</f>
        <v/>
      </c>
      <c r="F196" s="216" t="str">
        <f ca="1">IFERROR(VLOOKUP($B196,'Institution Evaluation'!$A$55:$F$346,6,0),IFERROR(VLOOKUP($B196,'Privacy Analyst Evaluation'!$A$46:$F$120,6,0),""))&amp;""</f>
        <v/>
      </c>
      <c r="G196" s="217"/>
      <c r="H196" s="216" t="str">
        <f>IFERROR(IF($H195+1&gt;'(backend scoring)'!$Q$335,"",$H195+1),"")</f>
        <v/>
      </c>
      <c r="I196" s="216" t="e">
        <f ca="1">_xlfn.XLOOKUP($H196,'(backend scoring)'!$S$2:$S$333,'(backend scoring)'!$A$2:$A$333,"")</f>
        <v>#NAME?</v>
      </c>
      <c r="J196" s="216" t="str">
        <f ca="1">IFERROR(VLOOKUP($I196,'Institution Evaluation'!$A$55:$F$346,2,0),IFERROR(VLOOKUP($I196,'Privacy Analyst Evaluation'!$A$46:$F$120,2,0),""))</f>
        <v/>
      </c>
      <c r="K196" s="216" t="str">
        <f ca="1">IFERROR(VLOOKUP($I196,'Institution Evaluation'!$A$55:$F$346,3,0),IFERROR(VLOOKUP($I196,'Privacy Analyst Evaluation'!$A$46:$F$120,3,0),""))&amp;""</f>
        <v/>
      </c>
      <c r="L196" s="216" t="str">
        <f ca="1">IFERROR(VLOOKUP($I196,'Institution Evaluation'!$A$55:$F$346,4,0),IFERROR(VLOOKUP($I196,'Privacy Analyst Evaluation'!$A$46:$F$120,4,0),""))&amp;""</f>
        <v/>
      </c>
      <c r="M196" s="216" t="str">
        <f ca="1">IFERROR(VLOOKUP($I196,'Institution Evaluation'!$A$55:$F$346,6,0),IFERROR(VLOOKUP($I196,'Privacy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ht="17">
      <c r="A197" s="216" t="str">
        <f>IFERROR(IF($A196+1&gt;'(backend scoring)'!$T$335,"",$A196+1),"")</f>
        <v/>
      </c>
      <c r="B197" s="216" t="e">
        <f ca="1">_xlfn.XLOOKUP($A197,'(backend scoring)'!$V$2:$V$333,'(backend scoring)'!$A$2:$A$333,"")</f>
        <v>#NAME?</v>
      </c>
      <c r="C197" s="216" t="str">
        <f ca="1">IFERROR(VLOOKUP($B197,'Institution Evaluation'!$A$55:$F$346,2,0),IFERROR(VLOOKUP($B197,'Privacy Analyst Evaluation'!$A$46:$F$120,2,0),""))&amp;""</f>
        <v/>
      </c>
      <c r="D197" s="216" t="str">
        <f ca="1">IFERROR(VLOOKUP($B197,'Institution Evaluation'!$A$55:$F$346,3,0),IFERROR(VLOOKUP($B197,'Privacy Analyst Evaluation'!$A$46:$F$120,3,0),""))&amp;""</f>
        <v/>
      </c>
      <c r="E197" s="216" t="str">
        <f ca="1">IFERROR(VLOOKUP($B197,'Institution Evaluation'!$A$55:$F$346,4,0),IFERROR(VLOOKUP($B197,'Privacy Analyst Evaluation'!$A$46:$F$120,4,0),""))&amp;""</f>
        <v/>
      </c>
      <c r="F197" s="216" t="str">
        <f ca="1">IFERROR(VLOOKUP($B197,'Institution Evaluation'!$A$55:$F$346,6,0),IFERROR(VLOOKUP($B197,'Privacy Analyst Evaluation'!$A$46:$F$120,6,0),""))&amp;""</f>
        <v/>
      </c>
      <c r="G197" s="217"/>
      <c r="H197" s="216" t="str">
        <f>IFERROR(IF($H196+1&gt;'(backend scoring)'!$Q$335,"",$H196+1),"")</f>
        <v/>
      </c>
      <c r="I197" s="216" t="e">
        <f ca="1">_xlfn.XLOOKUP($H197,'(backend scoring)'!$S$2:$S$333,'(backend scoring)'!$A$2:$A$333,"")</f>
        <v>#NAME?</v>
      </c>
      <c r="J197" s="216" t="str">
        <f ca="1">IFERROR(VLOOKUP($I197,'Institution Evaluation'!$A$55:$F$346,2,0),IFERROR(VLOOKUP($I197,'Privacy Analyst Evaluation'!$A$46:$F$120,2,0),""))</f>
        <v/>
      </c>
      <c r="K197" s="216" t="str">
        <f ca="1">IFERROR(VLOOKUP($I197,'Institution Evaluation'!$A$55:$F$346,3,0),IFERROR(VLOOKUP($I197,'Privacy Analyst Evaluation'!$A$46:$F$120,3,0),""))&amp;""</f>
        <v/>
      </c>
      <c r="L197" s="216" t="str">
        <f ca="1">IFERROR(VLOOKUP($I197,'Institution Evaluation'!$A$55:$F$346,4,0),IFERROR(VLOOKUP($I197,'Privacy Analyst Evaluation'!$A$46:$F$120,4,0),""))&amp;""</f>
        <v/>
      </c>
      <c r="M197" s="216" t="str">
        <f ca="1">IFERROR(VLOOKUP($I197,'Institution Evaluation'!$A$55:$F$346,6,0),IFERROR(VLOOKUP($I197,'Privacy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ht="17">
      <c r="A198" s="216" t="str">
        <f>IFERROR(IF($A197+1&gt;'(backend scoring)'!$T$335,"",$A197+1),"")</f>
        <v/>
      </c>
      <c r="B198" s="216" t="e">
        <f ca="1">_xlfn.XLOOKUP($A198,'(backend scoring)'!$V$2:$V$333,'(backend scoring)'!$A$2:$A$333,"")</f>
        <v>#NAME?</v>
      </c>
      <c r="C198" s="216" t="str">
        <f ca="1">IFERROR(VLOOKUP($B198,'Institution Evaluation'!$A$55:$F$346,2,0),IFERROR(VLOOKUP($B198,'Privacy Analyst Evaluation'!$A$46:$F$120,2,0),""))&amp;""</f>
        <v/>
      </c>
      <c r="D198" s="216" t="str">
        <f ca="1">IFERROR(VLOOKUP($B198,'Institution Evaluation'!$A$55:$F$346,3,0),IFERROR(VLOOKUP($B198,'Privacy Analyst Evaluation'!$A$46:$F$120,3,0),""))&amp;""</f>
        <v/>
      </c>
      <c r="E198" s="216" t="str">
        <f ca="1">IFERROR(VLOOKUP($B198,'Institution Evaluation'!$A$55:$F$346,4,0),IFERROR(VLOOKUP($B198,'Privacy Analyst Evaluation'!$A$46:$F$120,4,0),""))&amp;""</f>
        <v/>
      </c>
      <c r="F198" s="216" t="str">
        <f ca="1">IFERROR(VLOOKUP($B198,'Institution Evaluation'!$A$55:$F$346,6,0),IFERROR(VLOOKUP($B198,'Privacy Analyst Evaluation'!$A$46:$F$120,6,0),""))&amp;""</f>
        <v/>
      </c>
      <c r="G198" s="217"/>
      <c r="H198" s="216" t="str">
        <f>IFERROR(IF($H197+1&gt;'(backend scoring)'!$Q$335,"",$H197+1),"")</f>
        <v/>
      </c>
      <c r="I198" s="216" t="e">
        <f ca="1">_xlfn.XLOOKUP($H198,'(backend scoring)'!$S$2:$S$333,'(backend scoring)'!$A$2:$A$333,"")</f>
        <v>#NAME?</v>
      </c>
      <c r="J198" s="216" t="str">
        <f ca="1">IFERROR(VLOOKUP($I198,'Institution Evaluation'!$A$55:$F$346,2,0),IFERROR(VLOOKUP($I198,'Privacy Analyst Evaluation'!$A$46:$F$120,2,0),""))</f>
        <v/>
      </c>
      <c r="K198" s="216" t="str">
        <f ca="1">IFERROR(VLOOKUP($I198,'Institution Evaluation'!$A$55:$F$346,3,0),IFERROR(VLOOKUP($I198,'Privacy Analyst Evaluation'!$A$46:$F$120,3,0),""))&amp;""</f>
        <v/>
      </c>
      <c r="L198" s="216" t="str">
        <f ca="1">IFERROR(VLOOKUP($I198,'Institution Evaluation'!$A$55:$F$346,4,0),IFERROR(VLOOKUP($I198,'Privacy Analyst Evaluation'!$A$46:$F$120,4,0),""))&amp;""</f>
        <v/>
      </c>
      <c r="M198" s="216" t="str">
        <f ca="1">IFERROR(VLOOKUP($I198,'Institution Evaluation'!$A$55:$F$346,6,0),IFERROR(VLOOKUP($I198,'Privacy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ht="17">
      <c r="A199" s="216" t="str">
        <f>IFERROR(IF($A198+1&gt;'(backend scoring)'!$T$335,"",$A198+1),"")</f>
        <v/>
      </c>
      <c r="B199" s="216" t="e">
        <f ca="1">_xlfn.XLOOKUP($A199,'(backend scoring)'!$V$2:$V$333,'(backend scoring)'!$A$2:$A$333,"")</f>
        <v>#NAME?</v>
      </c>
      <c r="C199" s="216" t="str">
        <f ca="1">IFERROR(VLOOKUP($B199,'Institution Evaluation'!$A$55:$F$346,2,0),IFERROR(VLOOKUP($B199,'Privacy Analyst Evaluation'!$A$46:$F$120,2,0),""))&amp;""</f>
        <v/>
      </c>
      <c r="D199" s="216" t="str">
        <f ca="1">IFERROR(VLOOKUP($B199,'Institution Evaluation'!$A$55:$F$346,3,0),IFERROR(VLOOKUP($B199,'Privacy Analyst Evaluation'!$A$46:$F$120,3,0),""))&amp;""</f>
        <v/>
      </c>
      <c r="E199" s="216" t="str">
        <f ca="1">IFERROR(VLOOKUP($B199,'Institution Evaluation'!$A$55:$F$346,4,0),IFERROR(VLOOKUP($B199,'Privacy Analyst Evaluation'!$A$46:$F$120,4,0),""))&amp;""</f>
        <v/>
      </c>
      <c r="F199" s="216" t="str">
        <f ca="1">IFERROR(VLOOKUP($B199,'Institution Evaluation'!$A$55:$F$346,6,0),IFERROR(VLOOKUP($B199,'Privacy Analyst Evaluation'!$A$46:$F$120,6,0),""))&amp;""</f>
        <v/>
      </c>
      <c r="G199" s="217"/>
      <c r="H199" s="216" t="str">
        <f>IFERROR(IF($H198+1&gt;'(backend scoring)'!$Q$335,"",$H198+1),"")</f>
        <v/>
      </c>
      <c r="I199" s="216" t="e">
        <f ca="1">_xlfn.XLOOKUP($H199,'(backend scoring)'!$S$2:$S$333,'(backend scoring)'!$A$2:$A$333,"")</f>
        <v>#NAME?</v>
      </c>
      <c r="J199" s="216" t="str">
        <f ca="1">IFERROR(VLOOKUP($I199,'Institution Evaluation'!$A$55:$F$346,2,0),IFERROR(VLOOKUP($I199,'Privacy Analyst Evaluation'!$A$46:$F$120,2,0),""))</f>
        <v/>
      </c>
      <c r="K199" s="216" t="str">
        <f ca="1">IFERROR(VLOOKUP($I199,'Institution Evaluation'!$A$55:$F$346,3,0),IFERROR(VLOOKUP($I199,'Privacy Analyst Evaluation'!$A$46:$F$120,3,0),""))&amp;""</f>
        <v/>
      </c>
      <c r="L199" s="216" t="str">
        <f ca="1">IFERROR(VLOOKUP($I199,'Institution Evaluation'!$A$55:$F$346,4,0),IFERROR(VLOOKUP($I199,'Privacy Analyst Evaluation'!$A$46:$F$120,4,0),""))&amp;""</f>
        <v/>
      </c>
      <c r="M199" s="216" t="str">
        <f ca="1">IFERROR(VLOOKUP($I199,'Institution Evaluation'!$A$55:$F$346,6,0),IFERROR(VLOOKUP($I199,'Privacy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ht="17">
      <c r="A200" s="216" t="str">
        <f>IFERROR(IF($A199+1&gt;'(backend scoring)'!$T$335,"",$A199+1),"")</f>
        <v/>
      </c>
      <c r="B200" s="216" t="e">
        <f ca="1">_xlfn.XLOOKUP($A200,'(backend scoring)'!$V$2:$V$333,'(backend scoring)'!$A$2:$A$333,"")</f>
        <v>#NAME?</v>
      </c>
      <c r="C200" s="216" t="str">
        <f ca="1">IFERROR(VLOOKUP($B200,'Institution Evaluation'!$A$55:$F$346,2,0),IFERROR(VLOOKUP($B200,'Privacy Analyst Evaluation'!$A$46:$F$120,2,0),""))&amp;""</f>
        <v/>
      </c>
      <c r="D200" s="216" t="str">
        <f ca="1">IFERROR(VLOOKUP($B200,'Institution Evaluation'!$A$55:$F$346,3,0),IFERROR(VLOOKUP($B200,'Privacy Analyst Evaluation'!$A$46:$F$120,3,0),""))&amp;""</f>
        <v/>
      </c>
      <c r="E200" s="216" t="str">
        <f ca="1">IFERROR(VLOOKUP($B200,'Institution Evaluation'!$A$55:$F$346,4,0),IFERROR(VLOOKUP($B200,'Privacy Analyst Evaluation'!$A$46:$F$120,4,0),""))&amp;""</f>
        <v/>
      </c>
      <c r="F200" s="216" t="str">
        <f ca="1">IFERROR(VLOOKUP($B200,'Institution Evaluation'!$A$55:$F$346,6,0),IFERROR(VLOOKUP($B200,'Privacy Analyst Evaluation'!$A$46:$F$120,6,0),""))&amp;""</f>
        <v/>
      </c>
      <c r="G200" s="217"/>
      <c r="H200" s="216" t="str">
        <f>IFERROR(IF($H199+1&gt;'(backend scoring)'!$Q$335,"",$H199+1),"")</f>
        <v/>
      </c>
      <c r="I200" s="216" t="e">
        <f ca="1">_xlfn.XLOOKUP($H200,'(backend scoring)'!$S$2:$S$333,'(backend scoring)'!$A$2:$A$333,"")</f>
        <v>#NAME?</v>
      </c>
      <c r="J200" s="216" t="str">
        <f ca="1">IFERROR(VLOOKUP($I200,'Institution Evaluation'!$A$55:$F$346,2,0),IFERROR(VLOOKUP($I200,'Privacy Analyst Evaluation'!$A$46:$F$120,2,0),""))</f>
        <v/>
      </c>
      <c r="K200" s="216" t="str">
        <f ca="1">IFERROR(VLOOKUP($I200,'Institution Evaluation'!$A$55:$F$346,3,0),IFERROR(VLOOKUP($I200,'Privacy Analyst Evaluation'!$A$46:$F$120,3,0),""))&amp;""</f>
        <v/>
      </c>
      <c r="L200" s="216" t="str">
        <f ca="1">IFERROR(VLOOKUP($I200,'Institution Evaluation'!$A$55:$F$346,4,0),IFERROR(VLOOKUP($I200,'Privacy Analyst Evaluation'!$A$46:$F$120,4,0),""))&amp;""</f>
        <v/>
      </c>
      <c r="M200" s="216" t="str">
        <f ca="1">IFERROR(VLOOKUP($I200,'Institution Evaluation'!$A$55:$F$346,6,0),IFERROR(VLOOKUP($I200,'Privacy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ht="17">
      <c r="A201" s="216" t="str">
        <f>IFERROR(IF($A200+1&gt;'(backend scoring)'!$T$335,"",$A200+1),"")</f>
        <v/>
      </c>
      <c r="B201" s="216" t="e">
        <f ca="1">_xlfn.XLOOKUP($A201,'(backend scoring)'!$V$2:$V$333,'(backend scoring)'!$A$2:$A$333,"")</f>
        <v>#NAME?</v>
      </c>
      <c r="C201" s="216" t="str">
        <f ca="1">IFERROR(VLOOKUP($B201,'Institution Evaluation'!$A$55:$F$346,2,0),IFERROR(VLOOKUP($B201,'Privacy Analyst Evaluation'!$A$46:$F$120,2,0),""))&amp;""</f>
        <v/>
      </c>
      <c r="D201" s="216" t="str">
        <f ca="1">IFERROR(VLOOKUP($B201,'Institution Evaluation'!$A$55:$F$346,3,0),IFERROR(VLOOKUP($B201,'Privacy Analyst Evaluation'!$A$46:$F$120,3,0),""))&amp;""</f>
        <v/>
      </c>
      <c r="E201" s="216" t="str">
        <f ca="1">IFERROR(VLOOKUP($B201,'Institution Evaluation'!$A$55:$F$346,4,0),IFERROR(VLOOKUP($B201,'Privacy Analyst Evaluation'!$A$46:$F$120,4,0),""))&amp;""</f>
        <v/>
      </c>
      <c r="F201" s="216" t="str">
        <f ca="1">IFERROR(VLOOKUP($B201,'Institution Evaluation'!$A$55:$F$346,6,0),IFERROR(VLOOKUP($B201,'Privacy Analyst Evaluation'!$A$46:$F$120,6,0),""))&amp;""</f>
        <v/>
      </c>
      <c r="G201" s="217"/>
      <c r="H201" s="216" t="str">
        <f>IFERROR(IF($H200+1&gt;'(backend scoring)'!$Q$335,"",$H200+1),"")</f>
        <v/>
      </c>
      <c r="I201" s="216" t="e">
        <f ca="1">_xlfn.XLOOKUP($H201,'(backend scoring)'!$S$2:$S$333,'(backend scoring)'!$A$2:$A$333,"")</f>
        <v>#NAME?</v>
      </c>
      <c r="J201" s="216" t="str">
        <f ca="1">IFERROR(VLOOKUP($I201,'Institution Evaluation'!$A$55:$F$346,2,0),IFERROR(VLOOKUP($I201,'Privacy Analyst Evaluation'!$A$46:$F$120,2,0),""))</f>
        <v/>
      </c>
      <c r="K201" s="216" t="str">
        <f ca="1">IFERROR(VLOOKUP($I201,'Institution Evaluation'!$A$55:$F$346,3,0),IFERROR(VLOOKUP($I201,'Privacy Analyst Evaluation'!$A$46:$F$120,3,0),""))&amp;""</f>
        <v/>
      </c>
      <c r="L201" s="216" t="str">
        <f ca="1">IFERROR(VLOOKUP($I201,'Institution Evaluation'!$A$55:$F$346,4,0),IFERROR(VLOOKUP($I201,'Privacy Analyst Evaluation'!$A$46:$F$120,4,0),""))&amp;""</f>
        <v/>
      </c>
      <c r="M201" s="216" t="str">
        <f ca="1">IFERROR(VLOOKUP($I201,'Institution Evaluation'!$A$55:$F$346,6,0),IFERROR(VLOOKUP($I201,'Privacy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ht="17">
      <c r="A202" s="216" t="str">
        <f>IFERROR(IF($A201+1&gt;'(backend scoring)'!$T$335,"",$A201+1),"")</f>
        <v/>
      </c>
      <c r="B202" s="216" t="e">
        <f ca="1">_xlfn.XLOOKUP($A202,'(backend scoring)'!$V$2:$V$333,'(backend scoring)'!$A$2:$A$333,"")</f>
        <v>#NAME?</v>
      </c>
      <c r="C202" s="216" t="str">
        <f ca="1">IFERROR(VLOOKUP($B202,'Institution Evaluation'!$A$55:$F$346,2,0),IFERROR(VLOOKUP($B202,'Privacy Analyst Evaluation'!$A$46:$F$120,2,0),""))&amp;""</f>
        <v/>
      </c>
      <c r="D202" s="216" t="str">
        <f ca="1">IFERROR(VLOOKUP($B202,'Institution Evaluation'!$A$55:$F$346,3,0),IFERROR(VLOOKUP($B202,'Privacy Analyst Evaluation'!$A$46:$F$120,3,0),""))&amp;""</f>
        <v/>
      </c>
      <c r="E202" s="216" t="str">
        <f ca="1">IFERROR(VLOOKUP($B202,'Institution Evaluation'!$A$55:$F$346,4,0),IFERROR(VLOOKUP($B202,'Privacy Analyst Evaluation'!$A$46:$F$120,4,0),""))&amp;""</f>
        <v/>
      </c>
      <c r="F202" s="216" t="str">
        <f ca="1">IFERROR(VLOOKUP($B202,'Institution Evaluation'!$A$55:$F$346,6,0),IFERROR(VLOOKUP($B202,'Privacy Analyst Evaluation'!$A$46:$F$120,6,0),""))&amp;""</f>
        <v/>
      </c>
      <c r="G202" s="217"/>
      <c r="H202" s="216" t="str">
        <f>IFERROR(IF($H201+1&gt;'(backend scoring)'!$Q$335,"",$H201+1),"")</f>
        <v/>
      </c>
      <c r="I202" s="216" t="e">
        <f ca="1">_xlfn.XLOOKUP($H202,'(backend scoring)'!$S$2:$S$333,'(backend scoring)'!$A$2:$A$333,"")</f>
        <v>#NAME?</v>
      </c>
      <c r="J202" s="216" t="str">
        <f ca="1">IFERROR(VLOOKUP($I202,'Institution Evaluation'!$A$55:$F$346,2,0),IFERROR(VLOOKUP($I202,'Privacy Analyst Evaluation'!$A$46:$F$120,2,0),""))</f>
        <v/>
      </c>
      <c r="K202" s="216" t="str">
        <f ca="1">IFERROR(VLOOKUP($I202,'Institution Evaluation'!$A$55:$F$346,3,0),IFERROR(VLOOKUP($I202,'Privacy Analyst Evaluation'!$A$46:$F$120,3,0),""))&amp;""</f>
        <v/>
      </c>
      <c r="L202" s="216" t="str">
        <f ca="1">IFERROR(VLOOKUP($I202,'Institution Evaluation'!$A$55:$F$346,4,0),IFERROR(VLOOKUP($I202,'Privacy Analyst Evaluation'!$A$46:$F$120,4,0),""))&amp;""</f>
        <v/>
      </c>
      <c r="M202" s="216" t="str">
        <f ca="1">IFERROR(VLOOKUP($I202,'Institution Evaluation'!$A$55:$F$346,6,0),IFERROR(VLOOKUP($I202,'Privacy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ht="17">
      <c r="A203" s="216" t="str">
        <f>IFERROR(IF($A202+1&gt;'(backend scoring)'!$T$335,"",$A202+1),"")</f>
        <v/>
      </c>
      <c r="B203" s="216" t="e">
        <f ca="1">_xlfn.XLOOKUP($A203,'(backend scoring)'!$V$2:$V$333,'(backend scoring)'!$A$2:$A$333,"")</f>
        <v>#NAME?</v>
      </c>
      <c r="C203" s="216" t="str">
        <f ca="1">IFERROR(VLOOKUP($B203,'Institution Evaluation'!$A$55:$F$346,2,0),IFERROR(VLOOKUP($B203,'Privacy Analyst Evaluation'!$A$46:$F$120,2,0),""))&amp;""</f>
        <v/>
      </c>
      <c r="D203" s="216" t="str">
        <f ca="1">IFERROR(VLOOKUP($B203,'Institution Evaluation'!$A$55:$F$346,3,0),IFERROR(VLOOKUP($B203,'Privacy Analyst Evaluation'!$A$46:$F$120,3,0),""))&amp;""</f>
        <v/>
      </c>
      <c r="E203" s="216" t="str">
        <f ca="1">IFERROR(VLOOKUP($B203,'Institution Evaluation'!$A$55:$F$346,4,0),IFERROR(VLOOKUP($B203,'Privacy Analyst Evaluation'!$A$46:$F$120,4,0),""))&amp;""</f>
        <v/>
      </c>
      <c r="F203" s="216" t="str">
        <f ca="1">IFERROR(VLOOKUP($B203,'Institution Evaluation'!$A$55:$F$346,6,0),IFERROR(VLOOKUP($B203,'Privacy Analyst Evaluation'!$A$46:$F$120,6,0),""))&amp;""</f>
        <v/>
      </c>
      <c r="G203" s="217"/>
      <c r="H203" s="216" t="str">
        <f>IFERROR(IF($H202+1&gt;'(backend scoring)'!$Q$335,"",$H202+1),"")</f>
        <v/>
      </c>
      <c r="I203" s="216" t="e">
        <f ca="1">_xlfn.XLOOKUP($H203,'(backend scoring)'!$S$2:$S$333,'(backend scoring)'!$A$2:$A$333,"")</f>
        <v>#NAME?</v>
      </c>
      <c r="J203" s="216" t="str">
        <f ca="1">IFERROR(VLOOKUP($I203,'Institution Evaluation'!$A$55:$F$346,2,0),IFERROR(VLOOKUP($I203,'Privacy Analyst Evaluation'!$A$46:$F$120,2,0),""))</f>
        <v/>
      </c>
      <c r="K203" s="216" t="str">
        <f ca="1">IFERROR(VLOOKUP($I203,'Institution Evaluation'!$A$55:$F$346,3,0),IFERROR(VLOOKUP($I203,'Privacy Analyst Evaluation'!$A$46:$F$120,3,0),""))&amp;""</f>
        <v/>
      </c>
      <c r="L203" s="216" t="str">
        <f ca="1">IFERROR(VLOOKUP($I203,'Institution Evaluation'!$A$55:$F$346,4,0),IFERROR(VLOOKUP($I203,'Privacy Analyst Evaluation'!$A$46:$F$120,4,0),""))&amp;""</f>
        <v/>
      </c>
      <c r="M203" s="216" t="str">
        <f ca="1">IFERROR(VLOOKUP($I203,'Institution Evaluation'!$A$55:$F$346,6,0),IFERROR(VLOOKUP($I203,'Privacy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ht="17">
      <c r="A204" s="216" t="str">
        <f>IFERROR(IF($A203+1&gt;'(backend scoring)'!$T$335,"",$A203+1),"")</f>
        <v/>
      </c>
      <c r="B204" s="216" t="e">
        <f ca="1">_xlfn.XLOOKUP($A204,'(backend scoring)'!$V$2:$V$333,'(backend scoring)'!$A$2:$A$333,"")</f>
        <v>#NAME?</v>
      </c>
      <c r="C204" s="216" t="str">
        <f ca="1">IFERROR(VLOOKUP($B204,'Institution Evaluation'!$A$55:$F$346,2,0),IFERROR(VLOOKUP($B204,'Privacy Analyst Evaluation'!$A$46:$F$120,2,0),""))&amp;""</f>
        <v/>
      </c>
      <c r="D204" s="216" t="str">
        <f ca="1">IFERROR(VLOOKUP($B204,'Institution Evaluation'!$A$55:$F$346,3,0),IFERROR(VLOOKUP($B204,'Privacy Analyst Evaluation'!$A$46:$F$120,3,0),""))&amp;""</f>
        <v/>
      </c>
      <c r="E204" s="216" t="str">
        <f ca="1">IFERROR(VLOOKUP($B204,'Institution Evaluation'!$A$55:$F$346,4,0),IFERROR(VLOOKUP($B204,'Privacy Analyst Evaluation'!$A$46:$F$120,4,0),""))&amp;""</f>
        <v/>
      </c>
      <c r="F204" s="216" t="str">
        <f ca="1">IFERROR(VLOOKUP($B204,'Institution Evaluation'!$A$55:$F$346,6,0),IFERROR(VLOOKUP($B204,'Privacy Analyst Evaluation'!$A$46:$F$120,6,0),""))&amp;""</f>
        <v/>
      </c>
      <c r="G204" s="217"/>
      <c r="H204" s="216" t="str">
        <f>IFERROR(IF($H203+1&gt;'(backend scoring)'!$Q$335,"",$H203+1),"")</f>
        <v/>
      </c>
      <c r="I204" s="216" t="e">
        <f ca="1">_xlfn.XLOOKUP($H204,'(backend scoring)'!$S$2:$S$333,'(backend scoring)'!$A$2:$A$333,"")</f>
        <v>#NAME?</v>
      </c>
      <c r="J204" s="216" t="str">
        <f ca="1">IFERROR(VLOOKUP($I204,'Institution Evaluation'!$A$55:$F$346,2,0),IFERROR(VLOOKUP($I204,'Privacy Analyst Evaluation'!$A$46:$F$120,2,0),""))</f>
        <v/>
      </c>
      <c r="K204" s="216" t="str">
        <f ca="1">IFERROR(VLOOKUP($I204,'Institution Evaluation'!$A$55:$F$346,3,0),IFERROR(VLOOKUP($I204,'Privacy Analyst Evaluation'!$A$46:$F$120,3,0),""))&amp;""</f>
        <v/>
      </c>
      <c r="L204" s="216" t="str">
        <f ca="1">IFERROR(VLOOKUP($I204,'Institution Evaluation'!$A$55:$F$346,4,0),IFERROR(VLOOKUP($I204,'Privacy Analyst Evaluation'!$A$46:$F$120,4,0),""))&amp;""</f>
        <v/>
      </c>
      <c r="M204" s="216" t="str">
        <f ca="1">IFERROR(VLOOKUP($I204,'Institution Evaluation'!$A$55:$F$346,6,0),IFERROR(VLOOKUP($I204,'Privacy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ht="17">
      <c r="A205" s="216" t="str">
        <f>IFERROR(IF($A204+1&gt;'(backend scoring)'!$T$335,"",$A204+1),"")</f>
        <v/>
      </c>
      <c r="B205" s="216" t="e">
        <f ca="1">_xlfn.XLOOKUP($A205,'(backend scoring)'!$V$2:$V$333,'(backend scoring)'!$A$2:$A$333,"")</f>
        <v>#NAME?</v>
      </c>
      <c r="C205" s="216" t="str">
        <f ca="1">IFERROR(VLOOKUP($B205,'Institution Evaluation'!$A$55:$F$346,2,0),IFERROR(VLOOKUP($B205,'Privacy Analyst Evaluation'!$A$46:$F$120,2,0),""))&amp;""</f>
        <v/>
      </c>
      <c r="D205" s="216" t="str">
        <f ca="1">IFERROR(VLOOKUP($B205,'Institution Evaluation'!$A$55:$F$346,3,0),IFERROR(VLOOKUP($B205,'Privacy Analyst Evaluation'!$A$46:$F$120,3,0),""))&amp;""</f>
        <v/>
      </c>
      <c r="E205" s="216" t="str">
        <f ca="1">IFERROR(VLOOKUP($B205,'Institution Evaluation'!$A$55:$F$346,4,0),IFERROR(VLOOKUP($B205,'Privacy Analyst Evaluation'!$A$46:$F$120,4,0),""))&amp;""</f>
        <v/>
      </c>
      <c r="F205" s="216" t="str">
        <f ca="1">IFERROR(VLOOKUP($B205,'Institution Evaluation'!$A$55:$F$346,6,0),IFERROR(VLOOKUP($B205,'Privacy Analyst Evaluation'!$A$46:$F$120,6,0),""))&amp;""</f>
        <v/>
      </c>
      <c r="G205" s="217"/>
      <c r="H205" s="216" t="str">
        <f>IFERROR(IF($H204+1&gt;'(backend scoring)'!$Q$335,"",$H204+1),"")</f>
        <v/>
      </c>
      <c r="I205" s="216" t="e">
        <f ca="1">_xlfn.XLOOKUP($H205,'(backend scoring)'!$S$2:$S$333,'(backend scoring)'!$A$2:$A$333,"")</f>
        <v>#NAME?</v>
      </c>
      <c r="J205" s="216" t="str">
        <f ca="1">IFERROR(VLOOKUP($I205,'Institution Evaluation'!$A$55:$F$346,2,0),IFERROR(VLOOKUP($I205,'Privacy Analyst Evaluation'!$A$46:$F$120,2,0),""))</f>
        <v/>
      </c>
      <c r="K205" s="216" t="str">
        <f ca="1">IFERROR(VLOOKUP($I205,'Institution Evaluation'!$A$55:$F$346,3,0),IFERROR(VLOOKUP($I205,'Privacy Analyst Evaluation'!$A$46:$F$120,3,0),""))&amp;""</f>
        <v/>
      </c>
      <c r="L205" s="216" t="str">
        <f ca="1">IFERROR(VLOOKUP($I205,'Institution Evaluation'!$A$55:$F$346,4,0),IFERROR(VLOOKUP($I205,'Privacy Analyst Evaluation'!$A$46:$F$120,4,0),""))&amp;""</f>
        <v/>
      </c>
      <c r="M205" s="216" t="str">
        <f ca="1">IFERROR(VLOOKUP($I205,'Institution Evaluation'!$A$55:$F$346,6,0),IFERROR(VLOOKUP($I205,'Privacy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ht="17">
      <c r="A206" s="216" t="str">
        <f>IFERROR(IF($A205+1&gt;'(backend scoring)'!$T$335,"",$A205+1),"")</f>
        <v/>
      </c>
      <c r="B206" s="216" t="e">
        <f ca="1">_xlfn.XLOOKUP($A206,'(backend scoring)'!$V$2:$V$333,'(backend scoring)'!$A$2:$A$333,"")</f>
        <v>#NAME?</v>
      </c>
      <c r="C206" s="216" t="str">
        <f ca="1">IFERROR(VLOOKUP($B206,'Institution Evaluation'!$A$55:$F$346,2,0),IFERROR(VLOOKUP($B206,'Privacy Analyst Evaluation'!$A$46:$F$120,2,0),""))&amp;""</f>
        <v/>
      </c>
      <c r="D206" s="216" t="str">
        <f ca="1">IFERROR(VLOOKUP($B206,'Institution Evaluation'!$A$55:$F$346,3,0),IFERROR(VLOOKUP($B206,'Privacy Analyst Evaluation'!$A$46:$F$120,3,0),""))&amp;""</f>
        <v/>
      </c>
      <c r="E206" s="216" t="str">
        <f ca="1">IFERROR(VLOOKUP($B206,'Institution Evaluation'!$A$55:$F$346,4,0),IFERROR(VLOOKUP($B206,'Privacy Analyst Evaluation'!$A$46:$F$120,4,0),""))&amp;""</f>
        <v/>
      </c>
      <c r="F206" s="216" t="str">
        <f ca="1">IFERROR(VLOOKUP($B206,'Institution Evaluation'!$A$55:$F$346,6,0),IFERROR(VLOOKUP($B206,'Privacy Analyst Evaluation'!$A$46:$F$120,6,0),""))&amp;""</f>
        <v/>
      </c>
      <c r="G206" s="217"/>
      <c r="H206" s="216" t="str">
        <f>IFERROR(IF($H205+1&gt;'(backend scoring)'!$Q$335,"",$H205+1),"")</f>
        <v/>
      </c>
      <c r="I206" s="216" t="e">
        <f ca="1">_xlfn.XLOOKUP($H206,'(backend scoring)'!$S$2:$S$333,'(backend scoring)'!$A$2:$A$333,"")</f>
        <v>#NAME?</v>
      </c>
      <c r="J206" s="216" t="str">
        <f ca="1">IFERROR(VLOOKUP($I206,'Institution Evaluation'!$A$55:$F$346,2,0),IFERROR(VLOOKUP($I206,'Privacy Analyst Evaluation'!$A$46:$F$120,2,0),""))</f>
        <v/>
      </c>
      <c r="K206" s="216" t="str">
        <f ca="1">IFERROR(VLOOKUP($I206,'Institution Evaluation'!$A$55:$F$346,3,0),IFERROR(VLOOKUP($I206,'Privacy Analyst Evaluation'!$A$46:$F$120,3,0),""))&amp;""</f>
        <v/>
      </c>
      <c r="L206" s="216" t="str">
        <f ca="1">IFERROR(VLOOKUP($I206,'Institution Evaluation'!$A$55:$F$346,4,0),IFERROR(VLOOKUP($I206,'Privacy Analyst Evaluation'!$A$46:$F$120,4,0),""))&amp;""</f>
        <v/>
      </c>
      <c r="M206" s="216" t="str">
        <f ca="1">IFERROR(VLOOKUP($I206,'Institution Evaluation'!$A$55:$F$346,6,0),IFERROR(VLOOKUP($I206,'Privacy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ht="17">
      <c r="A207" s="216" t="str">
        <f>IFERROR(IF($A206+1&gt;'(backend scoring)'!$T$335,"",$A206+1),"")</f>
        <v/>
      </c>
      <c r="B207" s="216" t="e">
        <f ca="1">_xlfn.XLOOKUP($A207,'(backend scoring)'!$V$2:$V$333,'(backend scoring)'!$A$2:$A$333,"")</f>
        <v>#NAME?</v>
      </c>
      <c r="C207" s="216" t="str">
        <f ca="1">IFERROR(VLOOKUP($B207,'Institution Evaluation'!$A$55:$F$346,2,0),IFERROR(VLOOKUP($B207,'Privacy Analyst Evaluation'!$A$46:$F$120,2,0),""))&amp;""</f>
        <v/>
      </c>
      <c r="D207" s="216" t="str">
        <f ca="1">IFERROR(VLOOKUP($B207,'Institution Evaluation'!$A$55:$F$346,3,0),IFERROR(VLOOKUP($B207,'Privacy Analyst Evaluation'!$A$46:$F$120,3,0),""))&amp;""</f>
        <v/>
      </c>
      <c r="E207" s="216" t="str">
        <f ca="1">IFERROR(VLOOKUP($B207,'Institution Evaluation'!$A$55:$F$346,4,0),IFERROR(VLOOKUP($B207,'Privacy Analyst Evaluation'!$A$46:$F$120,4,0),""))&amp;""</f>
        <v/>
      </c>
      <c r="F207" s="216" t="str">
        <f ca="1">IFERROR(VLOOKUP($B207,'Institution Evaluation'!$A$55:$F$346,6,0),IFERROR(VLOOKUP($B207,'Privacy Analyst Evaluation'!$A$46:$F$120,6,0),""))&amp;""</f>
        <v/>
      </c>
      <c r="G207" s="217"/>
      <c r="H207" s="216" t="str">
        <f>IFERROR(IF($H206+1&gt;'(backend scoring)'!$Q$335,"",$H206+1),"")</f>
        <v/>
      </c>
      <c r="I207" s="216" t="e">
        <f ca="1">_xlfn.XLOOKUP($H207,'(backend scoring)'!$S$2:$S$333,'(backend scoring)'!$A$2:$A$333,"")</f>
        <v>#NAME?</v>
      </c>
      <c r="J207" s="216" t="str">
        <f ca="1">IFERROR(VLOOKUP($I207,'Institution Evaluation'!$A$55:$F$346,2,0),IFERROR(VLOOKUP($I207,'Privacy Analyst Evaluation'!$A$46:$F$120,2,0),""))</f>
        <v/>
      </c>
      <c r="K207" s="216" t="str">
        <f ca="1">IFERROR(VLOOKUP($I207,'Institution Evaluation'!$A$55:$F$346,3,0),IFERROR(VLOOKUP($I207,'Privacy Analyst Evaluation'!$A$46:$F$120,3,0),""))&amp;""</f>
        <v/>
      </c>
      <c r="L207" s="216" t="str">
        <f ca="1">IFERROR(VLOOKUP($I207,'Institution Evaluation'!$A$55:$F$346,4,0),IFERROR(VLOOKUP($I207,'Privacy Analyst Evaluation'!$A$46:$F$120,4,0),""))&amp;""</f>
        <v/>
      </c>
      <c r="M207" s="216" t="str">
        <f ca="1">IFERROR(VLOOKUP($I207,'Institution Evaluation'!$A$55:$F$346,6,0),IFERROR(VLOOKUP($I207,'Privacy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ht="17">
      <c r="A208" s="216" t="str">
        <f>IFERROR(IF($A207+1&gt;'(backend scoring)'!$T$335,"",$A207+1),"")</f>
        <v/>
      </c>
      <c r="B208" s="216" t="e">
        <f ca="1">_xlfn.XLOOKUP($A208,'(backend scoring)'!$V$2:$V$333,'(backend scoring)'!$A$2:$A$333,"")</f>
        <v>#NAME?</v>
      </c>
      <c r="C208" s="216" t="str">
        <f ca="1">IFERROR(VLOOKUP($B208,'Institution Evaluation'!$A$55:$F$346,2,0),IFERROR(VLOOKUP($B208,'Privacy Analyst Evaluation'!$A$46:$F$120,2,0),""))&amp;""</f>
        <v/>
      </c>
      <c r="D208" s="216" t="str">
        <f ca="1">IFERROR(VLOOKUP($B208,'Institution Evaluation'!$A$55:$F$346,3,0),IFERROR(VLOOKUP($B208,'Privacy Analyst Evaluation'!$A$46:$F$120,3,0),""))&amp;""</f>
        <v/>
      </c>
      <c r="E208" s="216" t="str">
        <f ca="1">IFERROR(VLOOKUP($B208,'Institution Evaluation'!$A$55:$F$346,4,0),IFERROR(VLOOKUP($B208,'Privacy Analyst Evaluation'!$A$46:$F$120,4,0),""))&amp;""</f>
        <v/>
      </c>
      <c r="F208" s="216" t="str">
        <f ca="1">IFERROR(VLOOKUP($B208,'Institution Evaluation'!$A$55:$F$346,6,0),IFERROR(VLOOKUP($B208,'Privacy Analyst Evaluation'!$A$46:$F$120,6,0),""))&amp;""</f>
        <v/>
      </c>
      <c r="G208" s="217"/>
      <c r="H208" s="216" t="str">
        <f>IFERROR(IF($H207+1&gt;'(backend scoring)'!$Q$335,"",$H207+1),"")</f>
        <v/>
      </c>
      <c r="I208" s="216" t="e">
        <f ca="1">_xlfn.XLOOKUP($H208,'(backend scoring)'!$S$2:$S$333,'(backend scoring)'!$A$2:$A$333,"")</f>
        <v>#NAME?</v>
      </c>
      <c r="J208" s="216" t="str">
        <f ca="1">IFERROR(VLOOKUP($I208,'Institution Evaluation'!$A$55:$F$346,2,0),IFERROR(VLOOKUP($I208,'Privacy Analyst Evaluation'!$A$46:$F$120,2,0),""))</f>
        <v/>
      </c>
      <c r="K208" s="216" t="str">
        <f ca="1">IFERROR(VLOOKUP($I208,'Institution Evaluation'!$A$55:$F$346,3,0),IFERROR(VLOOKUP($I208,'Privacy Analyst Evaluation'!$A$46:$F$120,3,0),""))&amp;""</f>
        <v/>
      </c>
      <c r="L208" s="216" t="str">
        <f ca="1">IFERROR(VLOOKUP($I208,'Institution Evaluation'!$A$55:$F$346,4,0),IFERROR(VLOOKUP($I208,'Privacy Analyst Evaluation'!$A$46:$F$120,4,0),""))&amp;""</f>
        <v/>
      </c>
      <c r="M208" s="216" t="str">
        <f ca="1">IFERROR(VLOOKUP($I208,'Institution Evaluation'!$A$55:$F$346,6,0),IFERROR(VLOOKUP($I208,'Privacy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ht="17">
      <c r="A209" s="216" t="str">
        <f>IFERROR(IF($A208+1&gt;'(backend scoring)'!$T$335,"",$A208+1),"")</f>
        <v/>
      </c>
      <c r="B209" s="216" t="e">
        <f ca="1">_xlfn.XLOOKUP($A209,'(backend scoring)'!$V$2:$V$333,'(backend scoring)'!$A$2:$A$333,"")</f>
        <v>#NAME?</v>
      </c>
      <c r="C209" s="216" t="str">
        <f ca="1">IFERROR(VLOOKUP($B209,'Institution Evaluation'!$A$55:$F$346,2,0),IFERROR(VLOOKUP($B209,'Privacy Analyst Evaluation'!$A$46:$F$120,2,0),""))&amp;""</f>
        <v/>
      </c>
      <c r="D209" s="216" t="str">
        <f ca="1">IFERROR(VLOOKUP($B209,'Institution Evaluation'!$A$55:$F$346,3,0),IFERROR(VLOOKUP($B209,'Privacy Analyst Evaluation'!$A$46:$F$120,3,0),""))&amp;""</f>
        <v/>
      </c>
      <c r="E209" s="216" t="str">
        <f ca="1">IFERROR(VLOOKUP($B209,'Institution Evaluation'!$A$55:$F$346,4,0),IFERROR(VLOOKUP($B209,'Privacy Analyst Evaluation'!$A$46:$F$120,4,0),""))&amp;""</f>
        <v/>
      </c>
      <c r="F209" s="216" t="str">
        <f ca="1">IFERROR(VLOOKUP($B209,'Institution Evaluation'!$A$55:$F$346,6,0),IFERROR(VLOOKUP($B209,'Privacy Analyst Evaluation'!$A$46:$F$120,6,0),""))&amp;""</f>
        <v/>
      </c>
      <c r="G209" s="217"/>
      <c r="H209" s="216" t="str">
        <f>IFERROR(IF($H208+1&gt;'(backend scoring)'!$Q$335,"",$H208+1),"")</f>
        <v/>
      </c>
      <c r="I209" s="216" t="e">
        <f ca="1">_xlfn.XLOOKUP($H209,'(backend scoring)'!$S$2:$S$333,'(backend scoring)'!$A$2:$A$333,"")</f>
        <v>#NAME?</v>
      </c>
      <c r="J209" s="216" t="str">
        <f ca="1">IFERROR(VLOOKUP($I209,'Institution Evaluation'!$A$55:$F$346,2,0),IFERROR(VLOOKUP($I209,'Privacy Analyst Evaluation'!$A$46:$F$120,2,0),""))</f>
        <v/>
      </c>
      <c r="K209" s="216" t="str">
        <f ca="1">IFERROR(VLOOKUP($I209,'Institution Evaluation'!$A$55:$F$346,3,0),IFERROR(VLOOKUP($I209,'Privacy Analyst Evaluation'!$A$46:$F$120,3,0),""))&amp;""</f>
        <v/>
      </c>
      <c r="L209" s="216" t="str">
        <f ca="1">IFERROR(VLOOKUP($I209,'Institution Evaluation'!$A$55:$F$346,4,0),IFERROR(VLOOKUP($I209,'Privacy Analyst Evaluation'!$A$46:$F$120,4,0),""))&amp;""</f>
        <v/>
      </c>
      <c r="M209" s="216" t="str">
        <f ca="1">IFERROR(VLOOKUP($I209,'Institution Evaluation'!$A$55:$F$346,6,0),IFERROR(VLOOKUP($I209,'Privacy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ht="17">
      <c r="A210" s="216" t="str">
        <f>IFERROR(IF($A209+1&gt;'(backend scoring)'!$T$335,"",$A209+1),"")</f>
        <v/>
      </c>
      <c r="B210" s="216" t="e">
        <f ca="1">_xlfn.XLOOKUP($A210,'(backend scoring)'!$V$2:$V$333,'(backend scoring)'!$A$2:$A$333,"")</f>
        <v>#NAME?</v>
      </c>
      <c r="C210" s="216" t="str">
        <f ca="1">IFERROR(VLOOKUP($B210,'Institution Evaluation'!$A$55:$F$346,2,0),IFERROR(VLOOKUP($B210,'Privacy Analyst Evaluation'!$A$46:$F$120,2,0),""))&amp;""</f>
        <v/>
      </c>
      <c r="D210" s="216" t="str">
        <f ca="1">IFERROR(VLOOKUP($B210,'Institution Evaluation'!$A$55:$F$346,3,0),IFERROR(VLOOKUP($B210,'Privacy Analyst Evaluation'!$A$46:$F$120,3,0),""))&amp;""</f>
        <v/>
      </c>
      <c r="E210" s="216" t="str">
        <f ca="1">IFERROR(VLOOKUP($B210,'Institution Evaluation'!$A$55:$F$346,4,0),IFERROR(VLOOKUP($B210,'Privacy Analyst Evaluation'!$A$46:$F$120,4,0),""))&amp;""</f>
        <v/>
      </c>
      <c r="F210" s="216" t="str">
        <f ca="1">IFERROR(VLOOKUP($B210,'Institution Evaluation'!$A$55:$F$346,6,0),IFERROR(VLOOKUP($B210,'Privacy Analyst Evaluation'!$A$46:$F$120,6,0),""))&amp;""</f>
        <v/>
      </c>
      <c r="G210" s="217"/>
      <c r="H210" s="216" t="str">
        <f>IFERROR(IF($H209+1&gt;'(backend scoring)'!$Q$335,"",$H209+1),"")</f>
        <v/>
      </c>
      <c r="I210" s="216" t="e">
        <f ca="1">_xlfn.XLOOKUP($H210,'(backend scoring)'!$S$2:$S$333,'(backend scoring)'!$A$2:$A$333,"")</f>
        <v>#NAME?</v>
      </c>
      <c r="J210" s="216" t="str">
        <f ca="1">IFERROR(VLOOKUP($I210,'Institution Evaluation'!$A$55:$F$346,2,0),IFERROR(VLOOKUP($I210,'Privacy Analyst Evaluation'!$A$46:$F$120,2,0),""))</f>
        <v/>
      </c>
      <c r="K210" s="216" t="str">
        <f ca="1">IFERROR(VLOOKUP($I210,'Institution Evaluation'!$A$55:$F$346,3,0),IFERROR(VLOOKUP($I210,'Privacy Analyst Evaluation'!$A$46:$F$120,3,0),""))&amp;""</f>
        <v/>
      </c>
      <c r="L210" s="216" t="str">
        <f ca="1">IFERROR(VLOOKUP($I210,'Institution Evaluation'!$A$55:$F$346,4,0),IFERROR(VLOOKUP($I210,'Privacy Analyst Evaluation'!$A$46:$F$120,4,0),""))&amp;""</f>
        <v/>
      </c>
      <c r="M210" s="216" t="str">
        <f ca="1">IFERROR(VLOOKUP($I210,'Institution Evaluation'!$A$55:$F$346,6,0),IFERROR(VLOOKUP($I210,'Privacy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ht="17">
      <c r="A211" s="216" t="str">
        <f>IFERROR(IF($A210+1&gt;'(backend scoring)'!$T$335,"",$A210+1),"")</f>
        <v/>
      </c>
      <c r="B211" s="216" t="e">
        <f ca="1">_xlfn.XLOOKUP($A211,'(backend scoring)'!$V$2:$V$333,'(backend scoring)'!$A$2:$A$333,"")</f>
        <v>#NAME?</v>
      </c>
      <c r="C211" s="216" t="str">
        <f ca="1">IFERROR(VLOOKUP($B211,'Institution Evaluation'!$A$55:$F$346,2,0),IFERROR(VLOOKUP($B211,'Privacy Analyst Evaluation'!$A$46:$F$120,2,0),""))&amp;""</f>
        <v/>
      </c>
      <c r="D211" s="216" t="str">
        <f ca="1">IFERROR(VLOOKUP($B211,'Institution Evaluation'!$A$55:$F$346,3,0),IFERROR(VLOOKUP($B211,'Privacy Analyst Evaluation'!$A$46:$F$120,3,0),""))&amp;""</f>
        <v/>
      </c>
      <c r="E211" s="216" t="str">
        <f ca="1">IFERROR(VLOOKUP($B211,'Institution Evaluation'!$A$55:$F$346,4,0),IFERROR(VLOOKUP($B211,'Privacy Analyst Evaluation'!$A$46:$F$120,4,0),""))&amp;""</f>
        <v/>
      </c>
      <c r="F211" s="216" t="str">
        <f ca="1">IFERROR(VLOOKUP($B211,'Institution Evaluation'!$A$55:$F$346,6,0),IFERROR(VLOOKUP($B211,'Privacy Analyst Evaluation'!$A$46:$F$120,6,0),""))&amp;""</f>
        <v/>
      </c>
      <c r="G211" s="217"/>
      <c r="H211" s="216" t="str">
        <f>IFERROR(IF($H210+1&gt;'(backend scoring)'!$Q$335,"",$H210+1),"")</f>
        <v/>
      </c>
      <c r="I211" s="216" t="e">
        <f ca="1">_xlfn.XLOOKUP($H211,'(backend scoring)'!$S$2:$S$333,'(backend scoring)'!$A$2:$A$333,"")</f>
        <v>#NAME?</v>
      </c>
      <c r="J211" s="216" t="str">
        <f ca="1">IFERROR(VLOOKUP($I211,'Institution Evaluation'!$A$55:$F$346,2,0),IFERROR(VLOOKUP($I211,'Privacy Analyst Evaluation'!$A$46:$F$120,2,0),""))</f>
        <v/>
      </c>
      <c r="K211" s="216" t="str">
        <f ca="1">IFERROR(VLOOKUP($I211,'Institution Evaluation'!$A$55:$F$346,3,0),IFERROR(VLOOKUP($I211,'Privacy Analyst Evaluation'!$A$46:$F$120,3,0),""))&amp;""</f>
        <v/>
      </c>
      <c r="L211" s="216" t="str">
        <f ca="1">IFERROR(VLOOKUP($I211,'Institution Evaluation'!$A$55:$F$346,4,0),IFERROR(VLOOKUP($I211,'Privacy Analyst Evaluation'!$A$46:$F$120,4,0),""))&amp;""</f>
        <v/>
      </c>
      <c r="M211" s="216" t="str">
        <f ca="1">IFERROR(VLOOKUP($I211,'Institution Evaluation'!$A$55:$F$346,6,0),IFERROR(VLOOKUP($I211,'Privacy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ht="17">
      <c r="A212" s="216" t="str">
        <f>IFERROR(IF($A211+1&gt;'(backend scoring)'!$T$335,"",$A211+1),"")</f>
        <v/>
      </c>
      <c r="B212" s="216" t="e">
        <f ca="1">_xlfn.XLOOKUP($A212,'(backend scoring)'!$V$2:$V$333,'(backend scoring)'!$A$2:$A$333,"")</f>
        <v>#NAME?</v>
      </c>
      <c r="C212" s="216" t="str">
        <f ca="1">IFERROR(VLOOKUP($B212,'Institution Evaluation'!$A$55:$F$346,2,0),IFERROR(VLOOKUP($B212,'Privacy Analyst Evaluation'!$A$46:$F$120,2,0),""))&amp;""</f>
        <v/>
      </c>
      <c r="D212" s="216" t="str">
        <f ca="1">IFERROR(VLOOKUP($B212,'Institution Evaluation'!$A$55:$F$346,3,0),IFERROR(VLOOKUP($B212,'Privacy Analyst Evaluation'!$A$46:$F$120,3,0),""))&amp;""</f>
        <v/>
      </c>
      <c r="E212" s="216" t="str">
        <f ca="1">IFERROR(VLOOKUP($B212,'Institution Evaluation'!$A$55:$F$346,4,0),IFERROR(VLOOKUP($B212,'Privacy Analyst Evaluation'!$A$46:$F$120,4,0),""))&amp;""</f>
        <v/>
      </c>
      <c r="F212" s="216" t="str">
        <f ca="1">IFERROR(VLOOKUP($B212,'Institution Evaluation'!$A$55:$F$346,6,0),IFERROR(VLOOKUP($B212,'Privacy Analyst Evaluation'!$A$46:$F$120,6,0),""))&amp;""</f>
        <v/>
      </c>
      <c r="G212" s="217"/>
      <c r="H212" s="216" t="str">
        <f>IFERROR(IF($H211+1&gt;'(backend scoring)'!$Q$335,"",$H211+1),"")</f>
        <v/>
      </c>
      <c r="I212" s="216" t="e">
        <f ca="1">_xlfn.XLOOKUP($H212,'(backend scoring)'!$S$2:$S$333,'(backend scoring)'!$A$2:$A$333,"")</f>
        <v>#NAME?</v>
      </c>
      <c r="J212" s="216" t="str">
        <f ca="1">IFERROR(VLOOKUP($I212,'Institution Evaluation'!$A$55:$F$346,2,0),IFERROR(VLOOKUP($I212,'Privacy Analyst Evaluation'!$A$46:$F$120,2,0),""))</f>
        <v/>
      </c>
      <c r="K212" s="216" t="str">
        <f ca="1">IFERROR(VLOOKUP($I212,'Institution Evaluation'!$A$55:$F$346,3,0),IFERROR(VLOOKUP($I212,'Privacy Analyst Evaluation'!$A$46:$F$120,3,0),""))&amp;""</f>
        <v/>
      </c>
      <c r="L212" s="216" t="str">
        <f ca="1">IFERROR(VLOOKUP($I212,'Institution Evaluation'!$A$55:$F$346,4,0),IFERROR(VLOOKUP($I212,'Privacy Analyst Evaluation'!$A$46:$F$120,4,0),""))&amp;""</f>
        <v/>
      </c>
      <c r="M212" s="216" t="str">
        <f ca="1">IFERROR(VLOOKUP($I212,'Institution Evaluation'!$A$55:$F$346,6,0),IFERROR(VLOOKUP($I212,'Privacy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ht="17">
      <c r="A213" s="216" t="str">
        <f>IFERROR(IF($A212+1&gt;'(backend scoring)'!$T$335,"",$A212+1),"")</f>
        <v/>
      </c>
      <c r="B213" s="216" t="e">
        <f ca="1">_xlfn.XLOOKUP($A213,'(backend scoring)'!$V$2:$V$333,'(backend scoring)'!$A$2:$A$333,"")</f>
        <v>#NAME?</v>
      </c>
      <c r="C213" s="216" t="str">
        <f ca="1">IFERROR(VLOOKUP($B213,'Institution Evaluation'!$A$55:$F$346,2,0),IFERROR(VLOOKUP($B213,'Privacy Analyst Evaluation'!$A$46:$F$120,2,0),""))&amp;""</f>
        <v/>
      </c>
      <c r="D213" s="216" t="str">
        <f ca="1">IFERROR(VLOOKUP($B213,'Institution Evaluation'!$A$55:$F$346,3,0),IFERROR(VLOOKUP($B213,'Privacy Analyst Evaluation'!$A$46:$F$120,3,0),""))&amp;""</f>
        <v/>
      </c>
      <c r="E213" s="216" t="str">
        <f ca="1">IFERROR(VLOOKUP($B213,'Institution Evaluation'!$A$55:$F$346,4,0),IFERROR(VLOOKUP($B213,'Privacy Analyst Evaluation'!$A$46:$F$120,4,0),""))&amp;""</f>
        <v/>
      </c>
      <c r="F213" s="216" t="str">
        <f ca="1">IFERROR(VLOOKUP($B213,'Institution Evaluation'!$A$55:$F$346,6,0),IFERROR(VLOOKUP($B213,'Privacy Analyst Evaluation'!$A$46:$F$120,6,0),""))&amp;""</f>
        <v/>
      </c>
      <c r="G213" s="217"/>
      <c r="H213" s="216" t="str">
        <f>IFERROR(IF($H212+1&gt;'(backend scoring)'!$Q$335,"",$H212+1),"")</f>
        <v/>
      </c>
      <c r="I213" s="216" t="e">
        <f ca="1">_xlfn.XLOOKUP($H213,'(backend scoring)'!$S$2:$S$333,'(backend scoring)'!$A$2:$A$333,"")</f>
        <v>#NAME?</v>
      </c>
      <c r="J213" s="216" t="str">
        <f ca="1">IFERROR(VLOOKUP($I213,'Institution Evaluation'!$A$55:$F$346,2,0),IFERROR(VLOOKUP($I213,'Privacy Analyst Evaluation'!$A$46:$F$120,2,0),""))</f>
        <v/>
      </c>
      <c r="K213" s="216" t="str">
        <f ca="1">IFERROR(VLOOKUP($I213,'Institution Evaluation'!$A$55:$F$346,3,0),IFERROR(VLOOKUP($I213,'Privacy Analyst Evaluation'!$A$46:$F$120,3,0),""))&amp;""</f>
        <v/>
      </c>
      <c r="L213" s="216" t="str">
        <f ca="1">IFERROR(VLOOKUP($I213,'Institution Evaluation'!$A$55:$F$346,4,0),IFERROR(VLOOKUP($I213,'Privacy Analyst Evaluation'!$A$46:$F$120,4,0),""))&amp;""</f>
        <v/>
      </c>
      <c r="M213" s="216" t="str">
        <f ca="1">IFERROR(VLOOKUP($I213,'Institution Evaluation'!$A$55:$F$346,6,0),IFERROR(VLOOKUP($I213,'Privacy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ht="17">
      <c r="A214" s="216" t="str">
        <f>IFERROR(IF($A213+1&gt;'(backend scoring)'!$T$335,"",$A213+1),"")</f>
        <v/>
      </c>
      <c r="B214" s="216" t="e">
        <f ca="1">_xlfn.XLOOKUP($A214,'(backend scoring)'!$V$2:$V$333,'(backend scoring)'!$A$2:$A$333,"")</f>
        <v>#NAME?</v>
      </c>
      <c r="C214" s="216" t="str">
        <f ca="1">IFERROR(VLOOKUP($B214,'Institution Evaluation'!$A$55:$F$346,2,0),IFERROR(VLOOKUP($B214,'Privacy Analyst Evaluation'!$A$46:$F$120,2,0),""))&amp;""</f>
        <v/>
      </c>
      <c r="D214" s="216" t="str">
        <f ca="1">IFERROR(VLOOKUP($B214,'Institution Evaluation'!$A$55:$F$346,3,0),IFERROR(VLOOKUP($B214,'Privacy Analyst Evaluation'!$A$46:$F$120,3,0),""))&amp;""</f>
        <v/>
      </c>
      <c r="E214" s="216" t="str">
        <f ca="1">IFERROR(VLOOKUP($B214,'Institution Evaluation'!$A$55:$F$346,4,0),IFERROR(VLOOKUP($B214,'Privacy Analyst Evaluation'!$A$46:$F$120,4,0),""))&amp;""</f>
        <v/>
      </c>
      <c r="F214" s="216" t="str">
        <f ca="1">IFERROR(VLOOKUP($B214,'Institution Evaluation'!$A$55:$F$346,6,0),IFERROR(VLOOKUP($B214,'Privacy Analyst Evaluation'!$A$46:$F$120,6,0),""))&amp;""</f>
        <v/>
      </c>
      <c r="G214" s="217"/>
      <c r="H214" s="216" t="str">
        <f>IFERROR(IF($H213+1&gt;'(backend scoring)'!$Q$335,"",$H213+1),"")</f>
        <v/>
      </c>
      <c r="I214" s="216" t="e">
        <f ca="1">_xlfn.XLOOKUP($H214,'(backend scoring)'!$S$2:$S$333,'(backend scoring)'!$A$2:$A$333,"")</f>
        <v>#NAME?</v>
      </c>
      <c r="J214" s="216" t="str">
        <f ca="1">IFERROR(VLOOKUP($I214,'Institution Evaluation'!$A$55:$F$346,2,0),IFERROR(VLOOKUP($I214,'Privacy Analyst Evaluation'!$A$46:$F$120,2,0),""))</f>
        <v/>
      </c>
      <c r="K214" s="216" t="str">
        <f ca="1">IFERROR(VLOOKUP($I214,'Institution Evaluation'!$A$55:$F$346,3,0),IFERROR(VLOOKUP($I214,'Privacy Analyst Evaluation'!$A$46:$F$120,3,0),""))&amp;""</f>
        <v/>
      </c>
      <c r="L214" s="216" t="str">
        <f ca="1">IFERROR(VLOOKUP($I214,'Institution Evaluation'!$A$55:$F$346,4,0),IFERROR(VLOOKUP($I214,'Privacy Analyst Evaluation'!$A$46:$F$120,4,0),""))&amp;""</f>
        <v/>
      </c>
      <c r="M214" s="216" t="str">
        <f ca="1">IFERROR(VLOOKUP($I214,'Institution Evaluation'!$A$55:$F$346,6,0),IFERROR(VLOOKUP($I214,'Privacy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ht="17">
      <c r="A215" s="216" t="str">
        <f>IFERROR(IF($A214+1&gt;'(backend scoring)'!$T$335,"",$A214+1),"")</f>
        <v/>
      </c>
      <c r="B215" s="216" t="e">
        <f ca="1">_xlfn.XLOOKUP($A215,'(backend scoring)'!$V$2:$V$333,'(backend scoring)'!$A$2:$A$333,"")</f>
        <v>#NAME?</v>
      </c>
      <c r="C215" s="216" t="str">
        <f ca="1">IFERROR(VLOOKUP($B215,'Institution Evaluation'!$A$55:$F$346,2,0),IFERROR(VLOOKUP($B215,'Privacy Analyst Evaluation'!$A$46:$F$120,2,0),""))&amp;""</f>
        <v/>
      </c>
      <c r="D215" s="216" t="str">
        <f ca="1">IFERROR(VLOOKUP($B215,'Institution Evaluation'!$A$55:$F$346,3,0),IFERROR(VLOOKUP($B215,'Privacy Analyst Evaluation'!$A$46:$F$120,3,0),""))&amp;""</f>
        <v/>
      </c>
      <c r="E215" s="216" t="str">
        <f ca="1">IFERROR(VLOOKUP($B215,'Institution Evaluation'!$A$55:$F$346,4,0),IFERROR(VLOOKUP($B215,'Privacy Analyst Evaluation'!$A$46:$F$120,4,0),""))&amp;""</f>
        <v/>
      </c>
      <c r="F215" s="216" t="str">
        <f ca="1">IFERROR(VLOOKUP($B215,'Institution Evaluation'!$A$55:$F$346,6,0),IFERROR(VLOOKUP($B215,'Privacy Analyst Evaluation'!$A$46:$F$120,6,0),""))&amp;""</f>
        <v/>
      </c>
      <c r="G215" s="217"/>
      <c r="H215" s="216" t="str">
        <f>IFERROR(IF($H214+1&gt;'(backend scoring)'!$Q$335,"",$H214+1),"")</f>
        <v/>
      </c>
      <c r="I215" s="216" t="e">
        <f ca="1">_xlfn.XLOOKUP($H215,'(backend scoring)'!$S$2:$S$333,'(backend scoring)'!$A$2:$A$333,"")</f>
        <v>#NAME?</v>
      </c>
      <c r="J215" s="216" t="str">
        <f ca="1">IFERROR(VLOOKUP($I215,'Institution Evaluation'!$A$55:$F$346,2,0),IFERROR(VLOOKUP($I215,'Privacy Analyst Evaluation'!$A$46:$F$120,2,0),""))</f>
        <v/>
      </c>
      <c r="K215" s="216" t="str">
        <f ca="1">IFERROR(VLOOKUP($I215,'Institution Evaluation'!$A$55:$F$346,3,0),IFERROR(VLOOKUP($I215,'Privacy Analyst Evaluation'!$A$46:$F$120,3,0),""))&amp;""</f>
        <v/>
      </c>
      <c r="L215" s="216" t="str">
        <f ca="1">IFERROR(VLOOKUP($I215,'Institution Evaluation'!$A$55:$F$346,4,0),IFERROR(VLOOKUP($I215,'Privacy Analyst Evaluation'!$A$46:$F$120,4,0),""))&amp;""</f>
        <v/>
      </c>
      <c r="M215" s="216" t="str">
        <f ca="1">IFERROR(VLOOKUP($I215,'Institution Evaluation'!$A$55:$F$346,6,0),IFERROR(VLOOKUP($I215,'Privacy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ht="17">
      <c r="A216" s="216" t="str">
        <f>IFERROR(IF($A215+1&gt;'(backend scoring)'!$T$335,"",$A215+1),"")</f>
        <v/>
      </c>
      <c r="B216" s="216" t="e">
        <f ca="1">_xlfn.XLOOKUP($A216,'(backend scoring)'!$V$2:$V$333,'(backend scoring)'!$A$2:$A$333,"")</f>
        <v>#NAME?</v>
      </c>
      <c r="C216" s="216" t="str">
        <f ca="1">IFERROR(VLOOKUP($B216,'Institution Evaluation'!$A$55:$F$346,2,0),IFERROR(VLOOKUP($B216,'Privacy Analyst Evaluation'!$A$46:$F$120,2,0),""))&amp;""</f>
        <v/>
      </c>
      <c r="D216" s="216" t="str">
        <f ca="1">IFERROR(VLOOKUP($B216,'Institution Evaluation'!$A$55:$F$346,3,0),IFERROR(VLOOKUP($B216,'Privacy Analyst Evaluation'!$A$46:$F$120,3,0),""))&amp;""</f>
        <v/>
      </c>
      <c r="E216" s="216" t="str">
        <f ca="1">IFERROR(VLOOKUP($B216,'Institution Evaluation'!$A$55:$F$346,4,0),IFERROR(VLOOKUP($B216,'Privacy Analyst Evaluation'!$A$46:$F$120,4,0),""))&amp;""</f>
        <v/>
      </c>
      <c r="F216" s="216" t="str">
        <f ca="1">IFERROR(VLOOKUP($B216,'Institution Evaluation'!$A$55:$F$346,6,0),IFERROR(VLOOKUP($B216,'Privacy Analyst Evaluation'!$A$46:$F$120,6,0),""))&amp;""</f>
        <v/>
      </c>
      <c r="G216" s="217"/>
      <c r="H216" s="216" t="str">
        <f>IFERROR(IF($H215+1&gt;'(backend scoring)'!$Q$335,"",$H215+1),"")</f>
        <v/>
      </c>
      <c r="I216" s="216" t="e">
        <f ca="1">_xlfn.XLOOKUP($H216,'(backend scoring)'!$S$2:$S$333,'(backend scoring)'!$A$2:$A$333,"")</f>
        <v>#NAME?</v>
      </c>
      <c r="J216" s="216" t="str">
        <f ca="1">IFERROR(VLOOKUP($I216,'Institution Evaluation'!$A$55:$F$346,2,0),IFERROR(VLOOKUP($I216,'Privacy Analyst Evaluation'!$A$46:$F$120,2,0),""))</f>
        <v/>
      </c>
      <c r="K216" s="216" t="str">
        <f ca="1">IFERROR(VLOOKUP($I216,'Institution Evaluation'!$A$55:$F$346,3,0),IFERROR(VLOOKUP($I216,'Privacy Analyst Evaluation'!$A$46:$F$120,3,0),""))&amp;""</f>
        <v/>
      </c>
      <c r="L216" s="216" t="str">
        <f ca="1">IFERROR(VLOOKUP($I216,'Institution Evaluation'!$A$55:$F$346,4,0),IFERROR(VLOOKUP($I216,'Privacy Analyst Evaluation'!$A$46:$F$120,4,0),""))&amp;""</f>
        <v/>
      </c>
      <c r="M216" s="216" t="str">
        <f ca="1">IFERROR(VLOOKUP($I216,'Institution Evaluation'!$A$55:$F$346,6,0),IFERROR(VLOOKUP($I216,'Privacy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ht="17">
      <c r="A217" s="216" t="str">
        <f>IFERROR(IF($A216+1&gt;'(backend scoring)'!$T$335,"",$A216+1),"")</f>
        <v/>
      </c>
      <c r="B217" s="216" t="e">
        <f ca="1">_xlfn.XLOOKUP($A217,'(backend scoring)'!$V$2:$V$333,'(backend scoring)'!$A$2:$A$333,"")</f>
        <v>#NAME?</v>
      </c>
      <c r="C217" s="216" t="str">
        <f ca="1">IFERROR(VLOOKUP($B217,'Institution Evaluation'!$A$55:$F$346,2,0),IFERROR(VLOOKUP($B217,'Privacy Analyst Evaluation'!$A$46:$F$120,2,0),""))&amp;""</f>
        <v/>
      </c>
      <c r="D217" s="216" t="str">
        <f ca="1">IFERROR(VLOOKUP($B217,'Institution Evaluation'!$A$55:$F$346,3,0),IFERROR(VLOOKUP($B217,'Privacy Analyst Evaluation'!$A$46:$F$120,3,0),""))&amp;""</f>
        <v/>
      </c>
      <c r="E217" s="216" t="str">
        <f ca="1">IFERROR(VLOOKUP($B217,'Institution Evaluation'!$A$55:$F$346,4,0),IFERROR(VLOOKUP($B217,'Privacy Analyst Evaluation'!$A$46:$F$120,4,0),""))&amp;""</f>
        <v/>
      </c>
      <c r="F217" s="216" t="str">
        <f ca="1">IFERROR(VLOOKUP($B217,'Institution Evaluation'!$A$55:$F$346,6,0),IFERROR(VLOOKUP($B217,'Privacy Analyst Evaluation'!$A$46:$F$120,6,0),""))&amp;""</f>
        <v/>
      </c>
      <c r="G217" s="217"/>
      <c r="H217" s="216" t="str">
        <f>IFERROR(IF($H216+1&gt;'(backend scoring)'!$Q$335,"",$H216+1),"")</f>
        <v/>
      </c>
      <c r="I217" s="216" t="e">
        <f ca="1">_xlfn.XLOOKUP($H217,'(backend scoring)'!$S$2:$S$333,'(backend scoring)'!$A$2:$A$333,"")</f>
        <v>#NAME?</v>
      </c>
      <c r="J217" s="216" t="str">
        <f ca="1">IFERROR(VLOOKUP($I217,'Institution Evaluation'!$A$55:$F$346,2,0),IFERROR(VLOOKUP($I217,'Privacy Analyst Evaluation'!$A$46:$F$120,2,0),""))</f>
        <v/>
      </c>
      <c r="K217" s="216" t="str">
        <f ca="1">IFERROR(VLOOKUP($I217,'Institution Evaluation'!$A$55:$F$346,3,0),IFERROR(VLOOKUP($I217,'Privacy Analyst Evaluation'!$A$46:$F$120,3,0),""))&amp;""</f>
        <v/>
      </c>
      <c r="L217" s="216" t="str">
        <f ca="1">IFERROR(VLOOKUP($I217,'Institution Evaluation'!$A$55:$F$346,4,0),IFERROR(VLOOKUP($I217,'Privacy Analyst Evaluation'!$A$46:$F$120,4,0),""))&amp;""</f>
        <v/>
      </c>
      <c r="M217" s="216" t="str">
        <f ca="1">IFERROR(VLOOKUP($I217,'Institution Evaluation'!$A$55:$F$346,6,0),IFERROR(VLOOKUP($I217,'Privacy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ht="17">
      <c r="A218" s="216" t="str">
        <f>IFERROR(IF($A217+1&gt;'(backend scoring)'!$T$335,"",$A217+1),"")</f>
        <v/>
      </c>
      <c r="B218" s="216" t="e">
        <f ca="1">_xlfn.XLOOKUP($A218,'(backend scoring)'!$V$2:$V$333,'(backend scoring)'!$A$2:$A$333,"")</f>
        <v>#NAME?</v>
      </c>
      <c r="C218" s="216" t="str">
        <f ca="1">IFERROR(VLOOKUP($B218,'Institution Evaluation'!$A$55:$F$346,2,0),IFERROR(VLOOKUP($B218,'Privacy Analyst Evaluation'!$A$46:$F$120,2,0),""))&amp;""</f>
        <v/>
      </c>
      <c r="D218" s="216" t="str">
        <f ca="1">IFERROR(VLOOKUP($B218,'Institution Evaluation'!$A$55:$F$346,3,0),IFERROR(VLOOKUP($B218,'Privacy Analyst Evaluation'!$A$46:$F$120,3,0),""))&amp;""</f>
        <v/>
      </c>
      <c r="E218" s="216" t="str">
        <f ca="1">IFERROR(VLOOKUP($B218,'Institution Evaluation'!$A$55:$F$346,4,0),IFERROR(VLOOKUP($B218,'Privacy Analyst Evaluation'!$A$46:$F$120,4,0),""))&amp;""</f>
        <v/>
      </c>
      <c r="F218" s="216" t="str">
        <f ca="1">IFERROR(VLOOKUP($B218,'Institution Evaluation'!$A$55:$F$346,6,0),IFERROR(VLOOKUP($B218,'Privacy Analyst Evaluation'!$A$46:$F$120,6,0),""))&amp;""</f>
        <v/>
      </c>
      <c r="G218" s="217"/>
      <c r="H218" s="216" t="str">
        <f>IFERROR(IF($H217+1&gt;'(backend scoring)'!$Q$335,"",$H217+1),"")</f>
        <v/>
      </c>
      <c r="I218" s="216" t="e">
        <f ca="1">_xlfn.XLOOKUP($H218,'(backend scoring)'!$S$2:$S$333,'(backend scoring)'!$A$2:$A$333,"")</f>
        <v>#NAME?</v>
      </c>
      <c r="J218" s="216" t="str">
        <f ca="1">IFERROR(VLOOKUP($I218,'Institution Evaluation'!$A$55:$F$346,2,0),IFERROR(VLOOKUP($I218,'Privacy Analyst Evaluation'!$A$46:$F$120,2,0),""))</f>
        <v/>
      </c>
      <c r="K218" s="216" t="str">
        <f ca="1">IFERROR(VLOOKUP($I218,'Institution Evaluation'!$A$55:$F$346,3,0),IFERROR(VLOOKUP($I218,'Privacy Analyst Evaluation'!$A$46:$F$120,3,0),""))&amp;""</f>
        <v/>
      </c>
      <c r="L218" s="216" t="str">
        <f ca="1">IFERROR(VLOOKUP($I218,'Institution Evaluation'!$A$55:$F$346,4,0),IFERROR(VLOOKUP($I218,'Privacy Analyst Evaluation'!$A$46:$F$120,4,0),""))&amp;""</f>
        <v/>
      </c>
      <c r="M218" s="216" t="str">
        <f ca="1">IFERROR(VLOOKUP($I218,'Institution Evaluation'!$A$55:$F$346,6,0),IFERROR(VLOOKUP($I218,'Privacy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ht="17">
      <c r="A219" s="216" t="str">
        <f>IFERROR(IF($A218+1&gt;'(backend scoring)'!$T$335,"",$A218+1),"")</f>
        <v/>
      </c>
      <c r="B219" s="216" t="e">
        <f ca="1">_xlfn.XLOOKUP($A219,'(backend scoring)'!$V$2:$V$333,'(backend scoring)'!$A$2:$A$333,"")</f>
        <v>#NAME?</v>
      </c>
      <c r="C219" s="216" t="str">
        <f ca="1">IFERROR(VLOOKUP($B219,'Institution Evaluation'!$A$55:$F$346,2,0),IFERROR(VLOOKUP($B219,'Privacy Analyst Evaluation'!$A$46:$F$120,2,0),""))&amp;""</f>
        <v/>
      </c>
      <c r="D219" s="216" t="str">
        <f ca="1">IFERROR(VLOOKUP($B219,'Institution Evaluation'!$A$55:$F$346,3,0),IFERROR(VLOOKUP($B219,'Privacy Analyst Evaluation'!$A$46:$F$120,3,0),""))&amp;""</f>
        <v/>
      </c>
      <c r="E219" s="216" t="str">
        <f ca="1">IFERROR(VLOOKUP($B219,'Institution Evaluation'!$A$55:$F$346,4,0),IFERROR(VLOOKUP($B219,'Privacy Analyst Evaluation'!$A$46:$F$120,4,0),""))&amp;""</f>
        <v/>
      </c>
      <c r="F219" s="216" t="str">
        <f ca="1">IFERROR(VLOOKUP($B219,'Institution Evaluation'!$A$55:$F$346,6,0),IFERROR(VLOOKUP($B219,'Privacy Analyst Evaluation'!$A$46:$F$120,6,0),""))&amp;""</f>
        <v/>
      </c>
      <c r="G219" s="217"/>
      <c r="H219" s="216" t="str">
        <f>IFERROR(IF($H218+1&gt;'(backend scoring)'!$Q$335,"",$H218+1),"")</f>
        <v/>
      </c>
      <c r="I219" s="216" t="e">
        <f ca="1">_xlfn.XLOOKUP($H219,'(backend scoring)'!$S$2:$S$333,'(backend scoring)'!$A$2:$A$333,"")</f>
        <v>#NAME?</v>
      </c>
      <c r="J219" s="216" t="str">
        <f ca="1">IFERROR(VLOOKUP($I219,'Institution Evaluation'!$A$55:$F$346,2,0),IFERROR(VLOOKUP($I219,'Privacy Analyst Evaluation'!$A$46:$F$120,2,0),""))</f>
        <v/>
      </c>
      <c r="K219" s="216" t="str">
        <f ca="1">IFERROR(VLOOKUP($I219,'Institution Evaluation'!$A$55:$F$346,3,0),IFERROR(VLOOKUP($I219,'Privacy Analyst Evaluation'!$A$46:$F$120,3,0),""))&amp;""</f>
        <v/>
      </c>
      <c r="L219" s="216" t="str">
        <f ca="1">IFERROR(VLOOKUP($I219,'Institution Evaluation'!$A$55:$F$346,4,0),IFERROR(VLOOKUP($I219,'Privacy Analyst Evaluation'!$A$46:$F$120,4,0),""))&amp;""</f>
        <v/>
      </c>
      <c r="M219" s="216" t="str">
        <f ca="1">IFERROR(VLOOKUP($I219,'Institution Evaluation'!$A$55:$F$346,6,0),IFERROR(VLOOKUP($I219,'Privacy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ht="17">
      <c r="A220" s="216" t="str">
        <f>IFERROR(IF($A219+1&gt;'(backend scoring)'!$T$335,"",$A219+1),"")</f>
        <v/>
      </c>
      <c r="B220" s="216" t="e">
        <f ca="1">_xlfn.XLOOKUP($A220,'(backend scoring)'!$V$2:$V$333,'(backend scoring)'!$A$2:$A$333,"")</f>
        <v>#NAME?</v>
      </c>
      <c r="C220" s="216" t="str">
        <f ca="1">IFERROR(VLOOKUP($B220,'Institution Evaluation'!$A$55:$F$346,2,0),IFERROR(VLOOKUP($B220,'Privacy Analyst Evaluation'!$A$46:$F$120,2,0),""))&amp;""</f>
        <v/>
      </c>
      <c r="D220" s="216" t="str">
        <f ca="1">IFERROR(VLOOKUP($B220,'Institution Evaluation'!$A$55:$F$346,3,0),IFERROR(VLOOKUP($B220,'Privacy Analyst Evaluation'!$A$46:$F$120,3,0),""))&amp;""</f>
        <v/>
      </c>
      <c r="E220" s="216" t="str">
        <f ca="1">IFERROR(VLOOKUP($B220,'Institution Evaluation'!$A$55:$F$346,4,0),IFERROR(VLOOKUP($B220,'Privacy Analyst Evaluation'!$A$46:$F$120,4,0),""))&amp;""</f>
        <v/>
      </c>
      <c r="F220" s="216" t="str">
        <f ca="1">IFERROR(VLOOKUP($B220,'Institution Evaluation'!$A$55:$F$346,6,0),IFERROR(VLOOKUP($B220,'Privacy Analyst Evaluation'!$A$46:$F$120,6,0),""))&amp;""</f>
        <v/>
      </c>
      <c r="G220" s="217"/>
      <c r="H220" s="216" t="str">
        <f>IFERROR(IF($H219+1&gt;'(backend scoring)'!$Q$335,"",$H219+1),"")</f>
        <v/>
      </c>
      <c r="I220" s="216" t="e">
        <f ca="1">_xlfn.XLOOKUP($H220,'(backend scoring)'!$S$2:$S$333,'(backend scoring)'!$A$2:$A$333,"")</f>
        <v>#NAME?</v>
      </c>
      <c r="J220" s="216" t="str">
        <f ca="1">IFERROR(VLOOKUP($I220,'Institution Evaluation'!$A$55:$F$346,2,0),IFERROR(VLOOKUP($I220,'Privacy Analyst Evaluation'!$A$46:$F$120,2,0),""))</f>
        <v/>
      </c>
      <c r="K220" s="216" t="str">
        <f ca="1">IFERROR(VLOOKUP($I220,'Institution Evaluation'!$A$55:$F$346,3,0),IFERROR(VLOOKUP($I220,'Privacy Analyst Evaluation'!$A$46:$F$120,3,0),""))&amp;""</f>
        <v/>
      </c>
      <c r="L220" s="216" t="str">
        <f ca="1">IFERROR(VLOOKUP($I220,'Institution Evaluation'!$A$55:$F$346,4,0),IFERROR(VLOOKUP($I220,'Privacy Analyst Evaluation'!$A$46:$F$120,4,0),""))&amp;""</f>
        <v/>
      </c>
      <c r="M220" s="216" t="str">
        <f ca="1">IFERROR(VLOOKUP($I220,'Institution Evaluation'!$A$55:$F$346,6,0),IFERROR(VLOOKUP($I220,'Privacy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ht="17">
      <c r="A221" s="216" t="str">
        <f>IFERROR(IF($A220+1&gt;'(backend scoring)'!$T$335,"",$A220+1),"")</f>
        <v/>
      </c>
      <c r="B221" s="216" t="e">
        <f ca="1">_xlfn.XLOOKUP($A221,'(backend scoring)'!$V$2:$V$333,'(backend scoring)'!$A$2:$A$333,"")</f>
        <v>#NAME?</v>
      </c>
      <c r="C221" s="216" t="str">
        <f ca="1">IFERROR(VLOOKUP($B221,'Institution Evaluation'!$A$55:$F$346,2,0),IFERROR(VLOOKUP($B221,'Privacy Analyst Evaluation'!$A$46:$F$120,2,0),""))&amp;""</f>
        <v/>
      </c>
      <c r="D221" s="216" t="str">
        <f ca="1">IFERROR(VLOOKUP($B221,'Institution Evaluation'!$A$55:$F$346,3,0),IFERROR(VLOOKUP($B221,'Privacy Analyst Evaluation'!$A$46:$F$120,3,0),""))&amp;""</f>
        <v/>
      </c>
      <c r="E221" s="216" t="str">
        <f ca="1">IFERROR(VLOOKUP($B221,'Institution Evaluation'!$A$55:$F$346,4,0),IFERROR(VLOOKUP($B221,'Privacy Analyst Evaluation'!$A$46:$F$120,4,0),""))&amp;""</f>
        <v/>
      </c>
      <c r="F221" s="216" t="str">
        <f ca="1">IFERROR(VLOOKUP($B221,'Institution Evaluation'!$A$55:$F$346,6,0),IFERROR(VLOOKUP($B221,'Privacy Analyst Evaluation'!$A$46:$F$120,6,0),""))&amp;""</f>
        <v/>
      </c>
      <c r="G221" s="217"/>
      <c r="H221" s="216" t="str">
        <f>IFERROR(IF($H220+1&gt;'(backend scoring)'!$Q$335,"",$H220+1),"")</f>
        <v/>
      </c>
      <c r="I221" s="216" t="e">
        <f ca="1">_xlfn.XLOOKUP($H221,'(backend scoring)'!$S$2:$S$333,'(backend scoring)'!$A$2:$A$333,"")</f>
        <v>#NAME?</v>
      </c>
      <c r="J221" s="216" t="str">
        <f ca="1">IFERROR(VLOOKUP($I221,'Institution Evaluation'!$A$55:$F$346,2,0),IFERROR(VLOOKUP($I221,'Privacy Analyst Evaluation'!$A$46:$F$120,2,0),""))</f>
        <v/>
      </c>
      <c r="K221" s="216" t="str">
        <f ca="1">IFERROR(VLOOKUP($I221,'Institution Evaluation'!$A$55:$F$346,3,0),IFERROR(VLOOKUP($I221,'Privacy Analyst Evaluation'!$A$46:$F$120,3,0),""))&amp;""</f>
        <v/>
      </c>
      <c r="L221" s="216" t="str">
        <f ca="1">IFERROR(VLOOKUP($I221,'Institution Evaluation'!$A$55:$F$346,4,0),IFERROR(VLOOKUP($I221,'Privacy Analyst Evaluation'!$A$46:$F$120,4,0),""))&amp;""</f>
        <v/>
      </c>
      <c r="M221" s="216" t="str">
        <f ca="1">IFERROR(VLOOKUP($I221,'Institution Evaluation'!$A$55:$F$346,6,0),IFERROR(VLOOKUP($I221,'Privacy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ht="17">
      <c r="A222" s="216" t="str">
        <f>IFERROR(IF($A221+1&gt;'(backend scoring)'!$T$335,"",$A221+1),"")</f>
        <v/>
      </c>
      <c r="B222" s="216" t="e">
        <f ca="1">_xlfn.XLOOKUP($A222,'(backend scoring)'!$V$2:$V$333,'(backend scoring)'!$A$2:$A$333,"")</f>
        <v>#NAME?</v>
      </c>
      <c r="C222" s="216" t="str">
        <f ca="1">IFERROR(VLOOKUP($B222,'Institution Evaluation'!$A$55:$F$346,2,0),IFERROR(VLOOKUP($B222,'Privacy Analyst Evaluation'!$A$46:$F$120,2,0),""))&amp;""</f>
        <v/>
      </c>
      <c r="D222" s="216" t="str">
        <f ca="1">IFERROR(VLOOKUP($B222,'Institution Evaluation'!$A$55:$F$346,3,0),IFERROR(VLOOKUP($B222,'Privacy Analyst Evaluation'!$A$46:$F$120,3,0),""))&amp;""</f>
        <v/>
      </c>
      <c r="E222" s="216" t="str">
        <f ca="1">IFERROR(VLOOKUP($B222,'Institution Evaluation'!$A$55:$F$346,4,0),IFERROR(VLOOKUP($B222,'Privacy Analyst Evaluation'!$A$46:$F$120,4,0),""))&amp;""</f>
        <v/>
      </c>
      <c r="F222" s="216" t="str">
        <f ca="1">IFERROR(VLOOKUP($B222,'Institution Evaluation'!$A$55:$F$346,6,0),IFERROR(VLOOKUP($B222,'Privacy Analyst Evaluation'!$A$46:$F$120,6,0),""))&amp;""</f>
        <v/>
      </c>
      <c r="G222" s="217"/>
      <c r="H222" s="216" t="str">
        <f>IFERROR(IF($H221+1&gt;'(backend scoring)'!$Q$335,"",$H221+1),"")</f>
        <v/>
      </c>
      <c r="I222" s="216" t="e">
        <f ca="1">_xlfn.XLOOKUP($H222,'(backend scoring)'!$S$2:$S$333,'(backend scoring)'!$A$2:$A$333,"")</f>
        <v>#NAME?</v>
      </c>
      <c r="J222" s="216" t="str">
        <f ca="1">IFERROR(VLOOKUP($I222,'Institution Evaluation'!$A$55:$F$346,2,0),IFERROR(VLOOKUP($I222,'Privacy Analyst Evaluation'!$A$46:$F$120,2,0),""))</f>
        <v/>
      </c>
      <c r="K222" s="216" t="str">
        <f ca="1">IFERROR(VLOOKUP($I222,'Institution Evaluation'!$A$55:$F$346,3,0),IFERROR(VLOOKUP($I222,'Privacy Analyst Evaluation'!$A$46:$F$120,3,0),""))&amp;""</f>
        <v/>
      </c>
      <c r="L222" s="216" t="str">
        <f ca="1">IFERROR(VLOOKUP($I222,'Institution Evaluation'!$A$55:$F$346,4,0),IFERROR(VLOOKUP($I222,'Privacy Analyst Evaluation'!$A$46:$F$120,4,0),""))&amp;""</f>
        <v/>
      </c>
      <c r="M222" s="216" t="str">
        <f ca="1">IFERROR(VLOOKUP($I222,'Institution Evaluation'!$A$55:$F$346,6,0),IFERROR(VLOOKUP($I222,'Privacy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ht="17">
      <c r="A223" s="216" t="str">
        <f>IFERROR(IF($A222+1&gt;'(backend scoring)'!$T$335,"",$A222+1),"")</f>
        <v/>
      </c>
      <c r="B223" s="216" t="e">
        <f ca="1">_xlfn.XLOOKUP($A223,'(backend scoring)'!$V$2:$V$333,'(backend scoring)'!$A$2:$A$333,"")</f>
        <v>#NAME?</v>
      </c>
      <c r="C223" s="216" t="str">
        <f ca="1">IFERROR(VLOOKUP($B223,'Institution Evaluation'!$A$55:$F$346,2,0),IFERROR(VLOOKUP($B223,'Privacy Analyst Evaluation'!$A$46:$F$120,2,0),""))&amp;""</f>
        <v/>
      </c>
      <c r="D223" s="216" t="str">
        <f ca="1">IFERROR(VLOOKUP($B223,'Institution Evaluation'!$A$55:$F$346,3,0),IFERROR(VLOOKUP($B223,'Privacy Analyst Evaluation'!$A$46:$F$120,3,0),""))&amp;""</f>
        <v/>
      </c>
      <c r="E223" s="216" t="str">
        <f ca="1">IFERROR(VLOOKUP($B223,'Institution Evaluation'!$A$55:$F$346,4,0),IFERROR(VLOOKUP($B223,'Privacy Analyst Evaluation'!$A$46:$F$120,4,0),""))&amp;""</f>
        <v/>
      </c>
      <c r="F223" s="216" t="str">
        <f ca="1">IFERROR(VLOOKUP($B223,'Institution Evaluation'!$A$55:$F$346,6,0),IFERROR(VLOOKUP($B223,'Privacy Analyst Evaluation'!$A$46:$F$120,6,0),""))&amp;""</f>
        <v/>
      </c>
      <c r="G223" s="217"/>
      <c r="H223" s="216" t="str">
        <f>IFERROR(IF($H222+1&gt;'(backend scoring)'!$Q$335,"",$H222+1),"")</f>
        <v/>
      </c>
      <c r="I223" s="216" t="e">
        <f ca="1">_xlfn.XLOOKUP($H223,'(backend scoring)'!$S$2:$S$333,'(backend scoring)'!$A$2:$A$333,"")</f>
        <v>#NAME?</v>
      </c>
      <c r="J223" s="216" t="str">
        <f ca="1">IFERROR(VLOOKUP($I223,'Institution Evaluation'!$A$55:$F$346,2,0),IFERROR(VLOOKUP($I223,'Privacy Analyst Evaluation'!$A$46:$F$120,2,0),""))</f>
        <v/>
      </c>
      <c r="K223" s="216" t="str">
        <f ca="1">IFERROR(VLOOKUP($I223,'Institution Evaluation'!$A$55:$F$346,3,0),IFERROR(VLOOKUP($I223,'Privacy Analyst Evaluation'!$A$46:$F$120,3,0),""))&amp;""</f>
        <v/>
      </c>
      <c r="L223" s="216" t="str">
        <f ca="1">IFERROR(VLOOKUP($I223,'Institution Evaluation'!$A$55:$F$346,4,0),IFERROR(VLOOKUP($I223,'Privacy Analyst Evaluation'!$A$46:$F$120,4,0),""))&amp;""</f>
        <v/>
      </c>
      <c r="M223" s="216" t="str">
        <f ca="1">IFERROR(VLOOKUP($I223,'Institution Evaluation'!$A$55:$F$346,6,0),IFERROR(VLOOKUP($I223,'Privacy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ht="17">
      <c r="A224" s="216" t="str">
        <f>IFERROR(IF($A223+1&gt;'(backend scoring)'!$T$335,"",$A223+1),"")</f>
        <v/>
      </c>
      <c r="B224" s="216" t="e">
        <f ca="1">_xlfn.XLOOKUP($A224,'(backend scoring)'!$V$2:$V$333,'(backend scoring)'!$A$2:$A$333,"")</f>
        <v>#NAME?</v>
      </c>
      <c r="C224" s="216" t="str">
        <f ca="1">IFERROR(VLOOKUP($B224,'Institution Evaluation'!$A$55:$F$346,2,0),IFERROR(VLOOKUP($B224,'Privacy Analyst Evaluation'!$A$46:$F$120,2,0),""))&amp;""</f>
        <v/>
      </c>
      <c r="D224" s="216" t="str">
        <f ca="1">IFERROR(VLOOKUP($B224,'Institution Evaluation'!$A$55:$F$346,3,0),IFERROR(VLOOKUP($B224,'Privacy Analyst Evaluation'!$A$46:$F$120,3,0),""))&amp;""</f>
        <v/>
      </c>
      <c r="E224" s="216" t="str">
        <f ca="1">IFERROR(VLOOKUP($B224,'Institution Evaluation'!$A$55:$F$346,4,0),IFERROR(VLOOKUP($B224,'Privacy Analyst Evaluation'!$A$46:$F$120,4,0),""))&amp;""</f>
        <v/>
      </c>
      <c r="F224" s="216" t="str">
        <f ca="1">IFERROR(VLOOKUP($B224,'Institution Evaluation'!$A$55:$F$346,6,0),IFERROR(VLOOKUP($B224,'Privacy Analyst Evaluation'!$A$46:$F$120,6,0),""))&amp;""</f>
        <v/>
      </c>
      <c r="G224" s="217"/>
      <c r="H224" s="216" t="str">
        <f>IFERROR(IF($H223+1&gt;'(backend scoring)'!$Q$335,"",$H223+1),"")</f>
        <v/>
      </c>
      <c r="I224" s="216" t="e">
        <f ca="1">_xlfn.XLOOKUP($H224,'(backend scoring)'!$S$2:$S$333,'(backend scoring)'!$A$2:$A$333,"")</f>
        <v>#NAME?</v>
      </c>
      <c r="J224" s="216" t="str">
        <f ca="1">IFERROR(VLOOKUP($I224,'Institution Evaluation'!$A$55:$F$346,2,0),IFERROR(VLOOKUP($I224,'Privacy Analyst Evaluation'!$A$46:$F$120,2,0),""))</f>
        <v/>
      </c>
      <c r="K224" s="216" t="str">
        <f ca="1">IFERROR(VLOOKUP($I224,'Institution Evaluation'!$A$55:$F$346,3,0),IFERROR(VLOOKUP($I224,'Privacy Analyst Evaluation'!$A$46:$F$120,3,0),""))&amp;""</f>
        <v/>
      </c>
      <c r="L224" s="216" t="str">
        <f ca="1">IFERROR(VLOOKUP($I224,'Institution Evaluation'!$A$55:$F$346,4,0),IFERROR(VLOOKUP($I224,'Privacy Analyst Evaluation'!$A$46:$F$120,4,0),""))&amp;""</f>
        <v/>
      </c>
      <c r="M224" s="216" t="str">
        <f ca="1">IFERROR(VLOOKUP($I224,'Institution Evaluation'!$A$55:$F$346,6,0),IFERROR(VLOOKUP($I224,'Privacy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ht="17">
      <c r="A225" s="216" t="str">
        <f>IFERROR(IF($A224+1&gt;'(backend scoring)'!$T$335,"",$A224+1),"")</f>
        <v/>
      </c>
      <c r="B225" s="216" t="e">
        <f ca="1">_xlfn.XLOOKUP($A225,'(backend scoring)'!$V$2:$V$333,'(backend scoring)'!$A$2:$A$333,"")</f>
        <v>#NAME?</v>
      </c>
      <c r="C225" s="216" t="str">
        <f ca="1">IFERROR(VLOOKUP($B225,'Institution Evaluation'!$A$55:$F$346,2,0),IFERROR(VLOOKUP($B225,'Privacy Analyst Evaluation'!$A$46:$F$120,2,0),""))&amp;""</f>
        <v/>
      </c>
      <c r="D225" s="216" t="str">
        <f ca="1">IFERROR(VLOOKUP($B225,'Institution Evaluation'!$A$55:$F$346,3,0),IFERROR(VLOOKUP($B225,'Privacy Analyst Evaluation'!$A$46:$F$120,3,0),""))&amp;""</f>
        <v/>
      </c>
      <c r="E225" s="216" t="str">
        <f ca="1">IFERROR(VLOOKUP($B225,'Institution Evaluation'!$A$55:$F$346,4,0),IFERROR(VLOOKUP($B225,'Privacy Analyst Evaluation'!$A$46:$F$120,4,0),""))&amp;""</f>
        <v/>
      </c>
      <c r="F225" s="216" t="str">
        <f ca="1">IFERROR(VLOOKUP($B225,'Institution Evaluation'!$A$55:$F$346,6,0),IFERROR(VLOOKUP($B225,'Privacy Analyst Evaluation'!$A$46:$F$120,6,0),""))&amp;""</f>
        <v/>
      </c>
      <c r="G225" s="217"/>
      <c r="H225" s="216" t="str">
        <f>IFERROR(IF($H224+1&gt;'(backend scoring)'!$Q$335,"",$H224+1),"")</f>
        <v/>
      </c>
      <c r="I225" s="216" t="e">
        <f ca="1">_xlfn.XLOOKUP($H225,'(backend scoring)'!$S$2:$S$333,'(backend scoring)'!$A$2:$A$333,"")</f>
        <v>#NAME?</v>
      </c>
      <c r="J225" s="216" t="str">
        <f ca="1">IFERROR(VLOOKUP($I225,'Institution Evaluation'!$A$55:$F$346,2,0),IFERROR(VLOOKUP($I225,'Privacy Analyst Evaluation'!$A$46:$F$120,2,0),""))</f>
        <v/>
      </c>
      <c r="K225" s="216" t="str">
        <f ca="1">IFERROR(VLOOKUP($I225,'Institution Evaluation'!$A$55:$F$346,3,0),IFERROR(VLOOKUP($I225,'Privacy Analyst Evaluation'!$A$46:$F$120,3,0),""))&amp;""</f>
        <v/>
      </c>
      <c r="L225" s="216" t="str">
        <f ca="1">IFERROR(VLOOKUP($I225,'Institution Evaluation'!$A$55:$F$346,4,0),IFERROR(VLOOKUP($I225,'Privacy Analyst Evaluation'!$A$46:$F$120,4,0),""))&amp;""</f>
        <v/>
      </c>
      <c r="M225" s="216" t="str">
        <f ca="1">IFERROR(VLOOKUP($I225,'Institution Evaluation'!$A$55:$F$346,6,0),IFERROR(VLOOKUP($I225,'Privacy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ht="17">
      <c r="A226" s="216" t="str">
        <f>IFERROR(IF($A225+1&gt;'(backend scoring)'!$T$335,"",$A225+1),"")</f>
        <v/>
      </c>
      <c r="B226" s="216" t="e">
        <f ca="1">_xlfn.XLOOKUP($A226,'(backend scoring)'!$V$2:$V$333,'(backend scoring)'!$A$2:$A$333,"")</f>
        <v>#NAME?</v>
      </c>
      <c r="C226" s="216" t="str">
        <f ca="1">IFERROR(VLOOKUP($B226,'Institution Evaluation'!$A$55:$F$346,2,0),IFERROR(VLOOKUP($B226,'Privacy Analyst Evaluation'!$A$46:$F$120,2,0),""))&amp;""</f>
        <v/>
      </c>
      <c r="D226" s="216" t="str">
        <f ca="1">IFERROR(VLOOKUP($B226,'Institution Evaluation'!$A$55:$F$346,3,0),IFERROR(VLOOKUP($B226,'Privacy Analyst Evaluation'!$A$46:$F$120,3,0),""))&amp;""</f>
        <v/>
      </c>
      <c r="E226" s="216" t="str">
        <f ca="1">IFERROR(VLOOKUP($B226,'Institution Evaluation'!$A$55:$F$346,4,0),IFERROR(VLOOKUP($B226,'Privacy Analyst Evaluation'!$A$46:$F$120,4,0),""))&amp;""</f>
        <v/>
      </c>
      <c r="F226" s="216" t="str">
        <f ca="1">IFERROR(VLOOKUP($B226,'Institution Evaluation'!$A$55:$F$346,6,0),IFERROR(VLOOKUP($B226,'Privacy Analyst Evaluation'!$A$46:$F$120,6,0),""))&amp;""</f>
        <v/>
      </c>
      <c r="G226" s="217"/>
      <c r="H226" s="216" t="str">
        <f>IFERROR(IF($H225+1&gt;'(backend scoring)'!$Q$335,"",$H225+1),"")</f>
        <v/>
      </c>
      <c r="I226" s="216" t="e">
        <f ca="1">_xlfn.XLOOKUP($H226,'(backend scoring)'!$S$2:$S$333,'(backend scoring)'!$A$2:$A$333,"")</f>
        <v>#NAME?</v>
      </c>
      <c r="J226" s="216" t="str">
        <f ca="1">IFERROR(VLOOKUP($I226,'Institution Evaluation'!$A$55:$F$346,2,0),IFERROR(VLOOKUP($I226,'Privacy Analyst Evaluation'!$A$46:$F$120,2,0),""))</f>
        <v/>
      </c>
      <c r="K226" s="216" t="str">
        <f ca="1">IFERROR(VLOOKUP($I226,'Institution Evaluation'!$A$55:$F$346,3,0),IFERROR(VLOOKUP($I226,'Privacy Analyst Evaluation'!$A$46:$F$120,3,0),""))&amp;""</f>
        <v/>
      </c>
      <c r="L226" s="216" t="str">
        <f ca="1">IFERROR(VLOOKUP($I226,'Institution Evaluation'!$A$55:$F$346,4,0),IFERROR(VLOOKUP($I226,'Privacy Analyst Evaluation'!$A$46:$F$120,4,0),""))&amp;""</f>
        <v/>
      </c>
      <c r="M226" s="216" t="str">
        <f ca="1">IFERROR(VLOOKUP($I226,'Institution Evaluation'!$A$55:$F$346,6,0),IFERROR(VLOOKUP($I226,'Privacy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ht="17">
      <c r="A227" s="216" t="str">
        <f>IFERROR(IF($A226+1&gt;'(backend scoring)'!$T$335,"",$A226+1),"")</f>
        <v/>
      </c>
      <c r="B227" s="216" t="e">
        <f ca="1">_xlfn.XLOOKUP($A227,'(backend scoring)'!$V$2:$V$333,'(backend scoring)'!$A$2:$A$333,"")</f>
        <v>#NAME?</v>
      </c>
      <c r="C227" s="216" t="str">
        <f ca="1">IFERROR(VLOOKUP($B227,'Institution Evaluation'!$A$55:$F$346,2,0),IFERROR(VLOOKUP($B227,'Privacy Analyst Evaluation'!$A$46:$F$120,2,0),""))&amp;""</f>
        <v/>
      </c>
      <c r="D227" s="216" t="str">
        <f ca="1">IFERROR(VLOOKUP($B227,'Institution Evaluation'!$A$55:$F$346,3,0),IFERROR(VLOOKUP($B227,'Privacy Analyst Evaluation'!$A$46:$F$120,3,0),""))&amp;""</f>
        <v/>
      </c>
      <c r="E227" s="216" t="str">
        <f ca="1">IFERROR(VLOOKUP($B227,'Institution Evaluation'!$A$55:$F$346,4,0),IFERROR(VLOOKUP($B227,'Privacy Analyst Evaluation'!$A$46:$F$120,4,0),""))&amp;""</f>
        <v/>
      </c>
      <c r="F227" s="216" t="str">
        <f ca="1">IFERROR(VLOOKUP($B227,'Institution Evaluation'!$A$55:$F$346,6,0),IFERROR(VLOOKUP($B227,'Privacy Analyst Evaluation'!$A$46:$F$120,6,0),""))&amp;""</f>
        <v/>
      </c>
      <c r="G227" s="217"/>
      <c r="H227" s="216" t="str">
        <f>IFERROR(IF($H226+1&gt;'(backend scoring)'!$Q$335,"",$H226+1),"")</f>
        <v/>
      </c>
      <c r="I227" s="216" t="e">
        <f ca="1">_xlfn.XLOOKUP($H227,'(backend scoring)'!$S$2:$S$333,'(backend scoring)'!$A$2:$A$333,"")</f>
        <v>#NAME?</v>
      </c>
      <c r="J227" s="216" t="str">
        <f ca="1">IFERROR(VLOOKUP($I227,'Institution Evaluation'!$A$55:$F$346,2,0),IFERROR(VLOOKUP($I227,'Privacy Analyst Evaluation'!$A$46:$F$120,2,0),""))</f>
        <v/>
      </c>
      <c r="K227" s="216" t="str">
        <f ca="1">IFERROR(VLOOKUP($I227,'Institution Evaluation'!$A$55:$F$346,3,0),IFERROR(VLOOKUP($I227,'Privacy Analyst Evaluation'!$A$46:$F$120,3,0),""))&amp;""</f>
        <v/>
      </c>
      <c r="L227" s="216" t="str">
        <f ca="1">IFERROR(VLOOKUP($I227,'Institution Evaluation'!$A$55:$F$346,4,0),IFERROR(VLOOKUP($I227,'Privacy Analyst Evaluation'!$A$46:$F$120,4,0),""))&amp;""</f>
        <v/>
      </c>
      <c r="M227" s="216" t="str">
        <f ca="1">IFERROR(VLOOKUP($I227,'Institution Evaluation'!$A$55:$F$346,6,0),IFERROR(VLOOKUP($I227,'Privacy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ht="17">
      <c r="A228" s="216" t="str">
        <f>IFERROR(IF($A227+1&gt;'(backend scoring)'!$T$335,"",$A227+1),"")</f>
        <v/>
      </c>
      <c r="B228" s="216" t="e">
        <f ca="1">_xlfn.XLOOKUP($A228,'(backend scoring)'!$V$2:$V$333,'(backend scoring)'!$A$2:$A$333,"")</f>
        <v>#NAME?</v>
      </c>
      <c r="C228" s="216" t="str">
        <f ca="1">IFERROR(VLOOKUP($B228,'Institution Evaluation'!$A$55:$F$346,2,0),IFERROR(VLOOKUP($B228,'Privacy Analyst Evaluation'!$A$46:$F$120,2,0),""))&amp;""</f>
        <v/>
      </c>
      <c r="D228" s="216" t="str">
        <f ca="1">IFERROR(VLOOKUP($B228,'Institution Evaluation'!$A$55:$F$346,3,0),IFERROR(VLOOKUP($B228,'Privacy Analyst Evaluation'!$A$46:$F$120,3,0),""))&amp;""</f>
        <v/>
      </c>
      <c r="E228" s="216" t="str">
        <f ca="1">IFERROR(VLOOKUP($B228,'Institution Evaluation'!$A$55:$F$346,4,0),IFERROR(VLOOKUP($B228,'Privacy Analyst Evaluation'!$A$46:$F$120,4,0),""))&amp;""</f>
        <v/>
      </c>
      <c r="F228" s="216" t="str">
        <f ca="1">IFERROR(VLOOKUP($B228,'Institution Evaluation'!$A$55:$F$346,6,0),IFERROR(VLOOKUP($B228,'Privacy Analyst Evaluation'!$A$46:$F$120,6,0),""))&amp;""</f>
        <v/>
      </c>
      <c r="G228" s="217"/>
      <c r="H228" s="216" t="str">
        <f>IFERROR(IF($H227+1&gt;'(backend scoring)'!$Q$335,"",$H227+1),"")</f>
        <v/>
      </c>
      <c r="I228" s="216" t="e">
        <f ca="1">_xlfn.XLOOKUP($H228,'(backend scoring)'!$S$2:$S$333,'(backend scoring)'!$A$2:$A$333,"")</f>
        <v>#NAME?</v>
      </c>
      <c r="J228" s="216" t="str">
        <f ca="1">IFERROR(VLOOKUP($I228,'Institution Evaluation'!$A$55:$F$346,2,0),IFERROR(VLOOKUP($I228,'Privacy Analyst Evaluation'!$A$46:$F$120,2,0),""))</f>
        <v/>
      </c>
      <c r="K228" s="216" t="str">
        <f ca="1">IFERROR(VLOOKUP($I228,'Institution Evaluation'!$A$55:$F$346,3,0),IFERROR(VLOOKUP($I228,'Privacy Analyst Evaluation'!$A$46:$F$120,3,0),""))&amp;""</f>
        <v/>
      </c>
      <c r="L228" s="216" t="str">
        <f ca="1">IFERROR(VLOOKUP($I228,'Institution Evaluation'!$A$55:$F$346,4,0),IFERROR(VLOOKUP($I228,'Privacy Analyst Evaluation'!$A$46:$F$120,4,0),""))&amp;""</f>
        <v/>
      </c>
      <c r="M228" s="216" t="str">
        <f ca="1">IFERROR(VLOOKUP($I228,'Institution Evaluation'!$A$55:$F$346,6,0),IFERROR(VLOOKUP($I228,'Privacy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ht="17">
      <c r="A229" s="216" t="str">
        <f>IFERROR(IF($A228+1&gt;'(backend scoring)'!$T$335,"",$A228+1),"")</f>
        <v/>
      </c>
      <c r="B229" s="216" t="e">
        <f ca="1">_xlfn.XLOOKUP($A229,'(backend scoring)'!$V$2:$V$333,'(backend scoring)'!$A$2:$A$333,"")</f>
        <v>#NAME?</v>
      </c>
      <c r="C229" s="216" t="str">
        <f ca="1">IFERROR(VLOOKUP($B229,'Institution Evaluation'!$A$55:$F$346,2,0),IFERROR(VLOOKUP($B229,'Privacy Analyst Evaluation'!$A$46:$F$120,2,0),""))&amp;""</f>
        <v/>
      </c>
      <c r="D229" s="216" t="str">
        <f ca="1">IFERROR(VLOOKUP($B229,'Institution Evaluation'!$A$55:$F$346,3,0),IFERROR(VLOOKUP($B229,'Privacy Analyst Evaluation'!$A$46:$F$120,3,0),""))&amp;""</f>
        <v/>
      </c>
      <c r="E229" s="216" t="str">
        <f ca="1">IFERROR(VLOOKUP($B229,'Institution Evaluation'!$A$55:$F$346,4,0),IFERROR(VLOOKUP($B229,'Privacy Analyst Evaluation'!$A$46:$F$120,4,0),""))&amp;""</f>
        <v/>
      </c>
      <c r="F229" s="216" t="str">
        <f ca="1">IFERROR(VLOOKUP($B229,'Institution Evaluation'!$A$55:$F$346,6,0),IFERROR(VLOOKUP($B229,'Privacy Analyst Evaluation'!$A$46:$F$120,6,0),""))&amp;""</f>
        <v/>
      </c>
      <c r="G229" s="217"/>
      <c r="H229" s="216" t="str">
        <f>IFERROR(IF($H228+1&gt;'(backend scoring)'!$Q$335,"",$H228+1),"")</f>
        <v/>
      </c>
      <c r="I229" s="216" t="e">
        <f ca="1">_xlfn.XLOOKUP($H229,'(backend scoring)'!$S$2:$S$333,'(backend scoring)'!$A$2:$A$333,"")</f>
        <v>#NAME?</v>
      </c>
      <c r="J229" s="216" t="str">
        <f ca="1">IFERROR(VLOOKUP($I229,'Institution Evaluation'!$A$55:$F$346,2,0),IFERROR(VLOOKUP($I229,'Privacy Analyst Evaluation'!$A$46:$F$120,2,0),""))</f>
        <v/>
      </c>
      <c r="K229" s="216" t="str">
        <f ca="1">IFERROR(VLOOKUP($I229,'Institution Evaluation'!$A$55:$F$346,3,0),IFERROR(VLOOKUP($I229,'Privacy Analyst Evaluation'!$A$46:$F$120,3,0),""))&amp;""</f>
        <v/>
      </c>
      <c r="L229" s="216" t="str">
        <f ca="1">IFERROR(VLOOKUP($I229,'Institution Evaluation'!$A$55:$F$346,4,0),IFERROR(VLOOKUP($I229,'Privacy Analyst Evaluation'!$A$46:$F$120,4,0),""))&amp;""</f>
        <v/>
      </c>
      <c r="M229" s="216" t="str">
        <f ca="1">IFERROR(VLOOKUP($I229,'Institution Evaluation'!$A$55:$F$346,6,0),IFERROR(VLOOKUP($I229,'Privacy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ht="17">
      <c r="A230" s="216" t="str">
        <f>IFERROR(IF($A229+1&gt;'(backend scoring)'!$T$335,"",$A229+1),"")</f>
        <v/>
      </c>
      <c r="B230" s="216" t="e">
        <f ca="1">_xlfn.XLOOKUP($A230,'(backend scoring)'!$V$2:$V$333,'(backend scoring)'!$A$2:$A$333,"")</f>
        <v>#NAME?</v>
      </c>
      <c r="C230" s="216" t="str">
        <f ca="1">IFERROR(VLOOKUP($B230,'Institution Evaluation'!$A$55:$F$346,2,0),IFERROR(VLOOKUP($B230,'Privacy Analyst Evaluation'!$A$46:$F$120,2,0),""))&amp;""</f>
        <v/>
      </c>
      <c r="D230" s="216" t="str">
        <f ca="1">IFERROR(VLOOKUP($B230,'Institution Evaluation'!$A$55:$F$346,3,0),IFERROR(VLOOKUP($B230,'Privacy Analyst Evaluation'!$A$46:$F$120,3,0),""))&amp;""</f>
        <v/>
      </c>
      <c r="E230" s="216" t="str">
        <f ca="1">IFERROR(VLOOKUP($B230,'Institution Evaluation'!$A$55:$F$346,4,0),IFERROR(VLOOKUP($B230,'Privacy Analyst Evaluation'!$A$46:$F$120,4,0),""))&amp;""</f>
        <v/>
      </c>
      <c r="F230" s="216" t="str">
        <f ca="1">IFERROR(VLOOKUP($B230,'Institution Evaluation'!$A$55:$F$346,6,0),IFERROR(VLOOKUP($B230,'Privacy Analyst Evaluation'!$A$46:$F$120,6,0),""))&amp;""</f>
        <v/>
      </c>
      <c r="G230" s="217"/>
      <c r="H230" s="216" t="str">
        <f>IFERROR(IF($H229+1&gt;'(backend scoring)'!$Q$335,"",$H229+1),"")</f>
        <v/>
      </c>
      <c r="I230" s="216" t="e">
        <f ca="1">_xlfn.XLOOKUP($H230,'(backend scoring)'!$S$2:$S$333,'(backend scoring)'!$A$2:$A$333,"")</f>
        <v>#NAME?</v>
      </c>
      <c r="J230" s="216" t="str">
        <f ca="1">IFERROR(VLOOKUP($I230,'Institution Evaluation'!$A$55:$F$346,2,0),IFERROR(VLOOKUP($I230,'Privacy Analyst Evaluation'!$A$46:$F$120,2,0),""))</f>
        <v/>
      </c>
      <c r="K230" s="216" t="str">
        <f ca="1">IFERROR(VLOOKUP($I230,'Institution Evaluation'!$A$55:$F$346,3,0),IFERROR(VLOOKUP($I230,'Privacy Analyst Evaluation'!$A$46:$F$120,3,0),""))&amp;""</f>
        <v/>
      </c>
      <c r="L230" s="216" t="str">
        <f ca="1">IFERROR(VLOOKUP($I230,'Institution Evaluation'!$A$55:$F$346,4,0),IFERROR(VLOOKUP($I230,'Privacy Analyst Evaluation'!$A$46:$F$120,4,0),""))&amp;""</f>
        <v/>
      </c>
      <c r="M230" s="216" t="str">
        <f ca="1">IFERROR(VLOOKUP($I230,'Institution Evaluation'!$A$55:$F$346,6,0),IFERROR(VLOOKUP($I230,'Privacy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ht="17">
      <c r="A231" s="216" t="str">
        <f>IFERROR(IF($A230+1&gt;'(backend scoring)'!$T$335,"",$A230+1),"")</f>
        <v/>
      </c>
      <c r="B231" s="216" t="e">
        <f ca="1">_xlfn.XLOOKUP($A231,'(backend scoring)'!$V$2:$V$333,'(backend scoring)'!$A$2:$A$333,"")</f>
        <v>#NAME?</v>
      </c>
      <c r="C231" s="216" t="str">
        <f ca="1">IFERROR(VLOOKUP($B231,'Institution Evaluation'!$A$55:$F$346,2,0),IFERROR(VLOOKUP($B231,'Privacy Analyst Evaluation'!$A$46:$F$120,2,0),""))&amp;""</f>
        <v/>
      </c>
      <c r="D231" s="216" t="str">
        <f ca="1">IFERROR(VLOOKUP($B231,'Institution Evaluation'!$A$55:$F$346,3,0),IFERROR(VLOOKUP($B231,'Privacy Analyst Evaluation'!$A$46:$F$120,3,0),""))&amp;""</f>
        <v/>
      </c>
      <c r="E231" s="216" t="str">
        <f ca="1">IFERROR(VLOOKUP($B231,'Institution Evaluation'!$A$55:$F$346,4,0),IFERROR(VLOOKUP($B231,'Privacy Analyst Evaluation'!$A$46:$F$120,4,0),""))&amp;""</f>
        <v/>
      </c>
      <c r="F231" s="216" t="str">
        <f ca="1">IFERROR(VLOOKUP($B231,'Institution Evaluation'!$A$55:$F$346,6,0),IFERROR(VLOOKUP($B231,'Privacy Analyst Evaluation'!$A$46:$F$120,6,0),""))&amp;""</f>
        <v/>
      </c>
      <c r="G231" s="217"/>
      <c r="H231" s="216" t="str">
        <f>IFERROR(IF($H230+1&gt;'(backend scoring)'!$Q$335,"",$H230+1),"")</f>
        <v/>
      </c>
      <c r="I231" s="216" t="e">
        <f ca="1">_xlfn.XLOOKUP($H231,'(backend scoring)'!$S$2:$S$333,'(backend scoring)'!$A$2:$A$333,"")</f>
        <v>#NAME?</v>
      </c>
      <c r="J231" s="216" t="str">
        <f ca="1">IFERROR(VLOOKUP($I231,'Institution Evaluation'!$A$55:$F$346,2,0),IFERROR(VLOOKUP($I231,'Privacy Analyst Evaluation'!$A$46:$F$120,2,0),""))</f>
        <v/>
      </c>
      <c r="K231" s="216" t="str">
        <f ca="1">IFERROR(VLOOKUP($I231,'Institution Evaluation'!$A$55:$F$346,3,0),IFERROR(VLOOKUP($I231,'Privacy Analyst Evaluation'!$A$46:$F$120,3,0),""))&amp;""</f>
        <v/>
      </c>
      <c r="L231" s="216" t="str">
        <f ca="1">IFERROR(VLOOKUP($I231,'Institution Evaluation'!$A$55:$F$346,4,0),IFERROR(VLOOKUP($I231,'Privacy Analyst Evaluation'!$A$46:$F$120,4,0),""))&amp;""</f>
        <v/>
      </c>
      <c r="M231" s="216" t="str">
        <f ca="1">IFERROR(VLOOKUP($I231,'Institution Evaluation'!$A$55:$F$346,6,0),IFERROR(VLOOKUP($I231,'Privacy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ht="17">
      <c r="A232" s="216" t="str">
        <f>IFERROR(IF($A231+1&gt;'(backend scoring)'!$T$335,"",$A231+1),"")</f>
        <v/>
      </c>
      <c r="B232" s="216" t="e">
        <f ca="1">_xlfn.XLOOKUP($A232,'(backend scoring)'!$V$2:$V$333,'(backend scoring)'!$A$2:$A$333,"")</f>
        <v>#NAME?</v>
      </c>
      <c r="C232" s="216" t="str">
        <f ca="1">IFERROR(VLOOKUP($B232,'Institution Evaluation'!$A$55:$F$346,2,0),IFERROR(VLOOKUP($B232,'Privacy Analyst Evaluation'!$A$46:$F$120,2,0),""))&amp;""</f>
        <v/>
      </c>
      <c r="D232" s="216" t="str">
        <f ca="1">IFERROR(VLOOKUP($B232,'Institution Evaluation'!$A$55:$F$346,3,0),IFERROR(VLOOKUP($B232,'Privacy Analyst Evaluation'!$A$46:$F$120,3,0),""))&amp;""</f>
        <v/>
      </c>
      <c r="E232" s="216" t="str">
        <f ca="1">IFERROR(VLOOKUP($B232,'Institution Evaluation'!$A$55:$F$346,4,0),IFERROR(VLOOKUP($B232,'Privacy Analyst Evaluation'!$A$46:$F$120,4,0),""))&amp;""</f>
        <v/>
      </c>
      <c r="F232" s="216" t="str">
        <f ca="1">IFERROR(VLOOKUP($B232,'Institution Evaluation'!$A$55:$F$346,6,0),IFERROR(VLOOKUP($B232,'Privacy Analyst Evaluation'!$A$46:$F$120,6,0),""))&amp;""</f>
        <v/>
      </c>
      <c r="G232" s="217"/>
      <c r="H232" s="216" t="str">
        <f>IFERROR(IF($H231+1&gt;'(backend scoring)'!$Q$335,"",$H231+1),"")</f>
        <v/>
      </c>
      <c r="I232" s="216" t="e">
        <f ca="1">_xlfn.XLOOKUP($H232,'(backend scoring)'!$S$2:$S$333,'(backend scoring)'!$A$2:$A$333,"")</f>
        <v>#NAME?</v>
      </c>
      <c r="J232" s="216" t="str">
        <f ca="1">IFERROR(VLOOKUP($I232,'Institution Evaluation'!$A$55:$F$346,2,0),IFERROR(VLOOKUP($I232,'Privacy Analyst Evaluation'!$A$46:$F$120,2,0),""))</f>
        <v/>
      </c>
      <c r="K232" s="216" t="str">
        <f ca="1">IFERROR(VLOOKUP($I232,'Institution Evaluation'!$A$55:$F$346,3,0),IFERROR(VLOOKUP($I232,'Privacy Analyst Evaluation'!$A$46:$F$120,3,0),""))&amp;""</f>
        <v/>
      </c>
      <c r="L232" s="216" t="str">
        <f ca="1">IFERROR(VLOOKUP($I232,'Institution Evaluation'!$A$55:$F$346,4,0),IFERROR(VLOOKUP($I232,'Privacy Analyst Evaluation'!$A$46:$F$120,4,0),""))&amp;""</f>
        <v/>
      </c>
      <c r="M232" s="216" t="str">
        <f ca="1">IFERROR(VLOOKUP($I232,'Institution Evaluation'!$A$55:$F$346,6,0),IFERROR(VLOOKUP($I232,'Privacy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ht="17">
      <c r="A233" s="216" t="str">
        <f>IFERROR(IF($A232+1&gt;'(backend scoring)'!$T$335,"",$A232+1),"")</f>
        <v/>
      </c>
      <c r="B233" s="216" t="e">
        <f ca="1">_xlfn.XLOOKUP($A233,'(backend scoring)'!$V$2:$V$333,'(backend scoring)'!$A$2:$A$333,"")</f>
        <v>#NAME?</v>
      </c>
      <c r="C233" s="216" t="str">
        <f ca="1">IFERROR(VLOOKUP($B233,'Institution Evaluation'!$A$55:$F$346,2,0),IFERROR(VLOOKUP($B233,'Privacy Analyst Evaluation'!$A$46:$F$120,2,0),""))&amp;""</f>
        <v/>
      </c>
      <c r="D233" s="216" t="str">
        <f ca="1">IFERROR(VLOOKUP($B233,'Institution Evaluation'!$A$55:$F$346,3,0),IFERROR(VLOOKUP($B233,'Privacy Analyst Evaluation'!$A$46:$F$120,3,0),""))&amp;""</f>
        <v/>
      </c>
      <c r="E233" s="216" t="str">
        <f ca="1">IFERROR(VLOOKUP($B233,'Institution Evaluation'!$A$55:$F$346,4,0),IFERROR(VLOOKUP($B233,'Privacy Analyst Evaluation'!$A$46:$F$120,4,0),""))&amp;""</f>
        <v/>
      </c>
      <c r="F233" s="216" t="str">
        <f ca="1">IFERROR(VLOOKUP($B233,'Institution Evaluation'!$A$55:$F$346,6,0),IFERROR(VLOOKUP($B233,'Privacy Analyst Evaluation'!$A$46:$F$120,6,0),""))&amp;""</f>
        <v/>
      </c>
      <c r="G233" s="217"/>
      <c r="H233" s="216" t="str">
        <f>IFERROR(IF($H232+1&gt;'(backend scoring)'!$Q$335,"",$H232+1),"")</f>
        <v/>
      </c>
      <c r="I233" s="216" t="e">
        <f ca="1">_xlfn.XLOOKUP($H233,'(backend scoring)'!$S$2:$S$333,'(backend scoring)'!$A$2:$A$333,"")</f>
        <v>#NAME?</v>
      </c>
      <c r="J233" s="216" t="str">
        <f ca="1">IFERROR(VLOOKUP($I233,'Institution Evaluation'!$A$55:$F$346,2,0),IFERROR(VLOOKUP($I233,'Privacy Analyst Evaluation'!$A$46:$F$120,2,0),""))</f>
        <v/>
      </c>
      <c r="K233" s="216" t="str">
        <f ca="1">IFERROR(VLOOKUP($I233,'Institution Evaluation'!$A$55:$F$346,3,0),IFERROR(VLOOKUP($I233,'Privacy Analyst Evaluation'!$A$46:$F$120,3,0),""))&amp;""</f>
        <v/>
      </c>
      <c r="L233" s="216" t="str">
        <f ca="1">IFERROR(VLOOKUP($I233,'Institution Evaluation'!$A$55:$F$346,4,0),IFERROR(VLOOKUP($I233,'Privacy Analyst Evaluation'!$A$46:$F$120,4,0),""))&amp;""</f>
        <v/>
      </c>
      <c r="M233" s="216" t="str">
        <f ca="1">IFERROR(VLOOKUP($I233,'Institution Evaluation'!$A$55:$F$346,6,0),IFERROR(VLOOKUP($I233,'Privacy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ht="17">
      <c r="A234" s="216" t="str">
        <f>IFERROR(IF($A233+1&gt;'(backend scoring)'!$T$335,"",$A233+1),"")</f>
        <v/>
      </c>
      <c r="B234" s="216" t="e">
        <f ca="1">_xlfn.XLOOKUP($A234,'(backend scoring)'!$V$2:$V$333,'(backend scoring)'!$A$2:$A$333,"")</f>
        <v>#NAME?</v>
      </c>
      <c r="C234" s="216" t="str">
        <f ca="1">IFERROR(VLOOKUP($B234,'Institution Evaluation'!$A$55:$F$346,2,0),IFERROR(VLOOKUP($B234,'Privacy Analyst Evaluation'!$A$46:$F$120,2,0),""))&amp;""</f>
        <v/>
      </c>
      <c r="D234" s="216" t="str">
        <f ca="1">IFERROR(VLOOKUP($B234,'Institution Evaluation'!$A$55:$F$346,3,0),IFERROR(VLOOKUP($B234,'Privacy Analyst Evaluation'!$A$46:$F$120,3,0),""))&amp;""</f>
        <v/>
      </c>
      <c r="E234" s="216" t="str">
        <f ca="1">IFERROR(VLOOKUP($B234,'Institution Evaluation'!$A$55:$F$346,4,0),IFERROR(VLOOKUP($B234,'Privacy Analyst Evaluation'!$A$46:$F$120,4,0),""))&amp;""</f>
        <v/>
      </c>
      <c r="F234" s="216" t="str">
        <f ca="1">IFERROR(VLOOKUP($B234,'Institution Evaluation'!$A$55:$F$346,6,0),IFERROR(VLOOKUP($B234,'Privacy Analyst Evaluation'!$A$46:$F$120,6,0),""))&amp;""</f>
        <v/>
      </c>
      <c r="G234" s="217"/>
      <c r="H234" s="216" t="str">
        <f>IFERROR(IF($H233+1&gt;'(backend scoring)'!$Q$335,"",$H233+1),"")</f>
        <v/>
      </c>
      <c r="I234" s="216" t="e">
        <f ca="1">_xlfn.XLOOKUP($H234,'(backend scoring)'!$S$2:$S$333,'(backend scoring)'!$A$2:$A$333,"")</f>
        <v>#NAME?</v>
      </c>
      <c r="J234" s="216" t="str">
        <f ca="1">IFERROR(VLOOKUP($I234,'Institution Evaluation'!$A$55:$F$346,2,0),IFERROR(VLOOKUP($I234,'Privacy Analyst Evaluation'!$A$46:$F$120,2,0),""))</f>
        <v/>
      </c>
      <c r="K234" s="216" t="str">
        <f ca="1">IFERROR(VLOOKUP($I234,'Institution Evaluation'!$A$55:$F$346,3,0),IFERROR(VLOOKUP($I234,'Privacy Analyst Evaluation'!$A$46:$F$120,3,0),""))&amp;""</f>
        <v/>
      </c>
      <c r="L234" s="216" t="str">
        <f ca="1">IFERROR(VLOOKUP($I234,'Institution Evaluation'!$A$55:$F$346,4,0),IFERROR(VLOOKUP($I234,'Privacy Analyst Evaluation'!$A$46:$F$120,4,0),""))&amp;""</f>
        <v/>
      </c>
      <c r="M234" s="216" t="str">
        <f ca="1">IFERROR(VLOOKUP($I234,'Institution Evaluation'!$A$55:$F$346,6,0),IFERROR(VLOOKUP($I234,'Privacy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ht="17">
      <c r="A235" s="216" t="str">
        <f>IFERROR(IF($A234+1&gt;'(backend scoring)'!$T$335,"",$A234+1),"")</f>
        <v/>
      </c>
      <c r="B235" s="216" t="e">
        <f ca="1">_xlfn.XLOOKUP($A235,'(backend scoring)'!$V$2:$V$333,'(backend scoring)'!$A$2:$A$333,"")</f>
        <v>#NAME?</v>
      </c>
      <c r="C235" s="216" t="str">
        <f ca="1">IFERROR(VLOOKUP($B235,'Institution Evaluation'!$A$55:$F$346,2,0),IFERROR(VLOOKUP($B235,'Privacy Analyst Evaluation'!$A$46:$F$120,2,0),""))&amp;""</f>
        <v/>
      </c>
      <c r="D235" s="216" t="str">
        <f ca="1">IFERROR(VLOOKUP($B235,'Institution Evaluation'!$A$55:$F$346,3,0),IFERROR(VLOOKUP($B235,'Privacy Analyst Evaluation'!$A$46:$F$120,3,0),""))&amp;""</f>
        <v/>
      </c>
      <c r="E235" s="216" t="str">
        <f ca="1">IFERROR(VLOOKUP($B235,'Institution Evaluation'!$A$55:$F$346,4,0),IFERROR(VLOOKUP($B235,'Privacy Analyst Evaluation'!$A$46:$F$120,4,0),""))&amp;""</f>
        <v/>
      </c>
      <c r="F235" s="216" t="str">
        <f ca="1">IFERROR(VLOOKUP($B235,'Institution Evaluation'!$A$55:$F$346,6,0),IFERROR(VLOOKUP($B235,'Privacy Analyst Evaluation'!$A$46:$F$120,6,0),""))&amp;""</f>
        <v/>
      </c>
      <c r="G235" s="217"/>
      <c r="H235" s="216" t="str">
        <f>IFERROR(IF($H234+1&gt;'(backend scoring)'!$Q$335,"",$H234+1),"")</f>
        <v/>
      </c>
      <c r="I235" s="216" t="e">
        <f ca="1">_xlfn.XLOOKUP($H235,'(backend scoring)'!$S$2:$S$333,'(backend scoring)'!$A$2:$A$333,"")</f>
        <v>#NAME?</v>
      </c>
      <c r="J235" s="216" t="str">
        <f ca="1">IFERROR(VLOOKUP($I235,'Institution Evaluation'!$A$55:$F$346,2,0),IFERROR(VLOOKUP($I235,'Privacy Analyst Evaluation'!$A$46:$F$120,2,0),""))</f>
        <v/>
      </c>
      <c r="K235" s="216" t="str">
        <f ca="1">IFERROR(VLOOKUP($I235,'Institution Evaluation'!$A$55:$F$346,3,0),IFERROR(VLOOKUP($I235,'Privacy Analyst Evaluation'!$A$46:$F$120,3,0),""))&amp;""</f>
        <v/>
      </c>
      <c r="L235" s="216" t="str">
        <f ca="1">IFERROR(VLOOKUP($I235,'Institution Evaluation'!$A$55:$F$346,4,0),IFERROR(VLOOKUP($I235,'Privacy Analyst Evaluation'!$A$46:$F$120,4,0),""))&amp;""</f>
        <v/>
      </c>
      <c r="M235" s="216" t="str">
        <f ca="1">IFERROR(VLOOKUP($I235,'Institution Evaluation'!$A$55:$F$346,6,0),IFERROR(VLOOKUP($I235,'Privacy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ht="17">
      <c r="A236" s="216" t="str">
        <f>IFERROR(IF($A235+1&gt;'(backend scoring)'!$T$335,"",$A235+1),"")</f>
        <v/>
      </c>
      <c r="B236" s="216" t="e">
        <f ca="1">_xlfn.XLOOKUP($A236,'(backend scoring)'!$V$2:$V$333,'(backend scoring)'!$A$2:$A$333,"")</f>
        <v>#NAME?</v>
      </c>
      <c r="C236" s="216" t="str">
        <f ca="1">IFERROR(VLOOKUP($B236,'Institution Evaluation'!$A$55:$F$346,2,0),IFERROR(VLOOKUP($B236,'Privacy Analyst Evaluation'!$A$46:$F$120,2,0),""))&amp;""</f>
        <v/>
      </c>
      <c r="D236" s="216" t="str">
        <f ca="1">IFERROR(VLOOKUP($B236,'Institution Evaluation'!$A$55:$F$346,3,0),IFERROR(VLOOKUP($B236,'Privacy Analyst Evaluation'!$A$46:$F$120,3,0),""))&amp;""</f>
        <v/>
      </c>
      <c r="E236" s="216" t="str">
        <f ca="1">IFERROR(VLOOKUP($B236,'Institution Evaluation'!$A$55:$F$346,4,0),IFERROR(VLOOKUP($B236,'Privacy Analyst Evaluation'!$A$46:$F$120,4,0),""))&amp;""</f>
        <v/>
      </c>
      <c r="F236" s="216" t="str">
        <f ca="1">IFERROR(VLOOKUP($B236,'Institution Evaluation'!$A$55:$F$346,6,0),IFERROR(VLOOKUP($B236,'Privacy Analyst Evaluation'!$A$46:$F$120,6,0),""))&amp;""</f>
        <v/>
      </c>
      <c r="G236" s="217"/>
      <c r="H236" s="216" t="str">
        <f>IFERROR(IF($H235+1&gt;'(backend scoring)'!$Q$335,"",$H235+1),"")</f>
        <v/>
      </c>
      <c r="I236" s="216" t="e">
        <f ca="1">_xlfn.XLOOKUP($H236,'(backend scoring)'!$S$2:$S$333,'(backend scoring)'!$A$2:$A$333,"")</f>
        <v>#NAME?</v>
      </c>
      <c r="J236" s="216" t="str">
        <f ca="1">IFERROR(VLOOKUP($I236,'Institution Evaluation'!$A$55:$F$346,2,0),IFERROR(VLOOKUP($I236,'Privacy Analyst Evaluation'!$A$46:$F$120,2,0),""))</f>
        <v/>
      </c>
      <c r="K236" s="216" t="str">
        <f ca="1">IFERROR(VLOOKUP($I236,'Institution Evaluation'!$A$55:$F$346,3,0),IFERROR(VLOOKUP($I236,'Privacy Analyst Evaluation'!$A$46:$F$120,3,0),""))&amp;""</f>
        <v/>
      </c>
      <c r="L236" s="216" t="str">
        <f ca="1">IFERROR(VLOOKUP($I236,'Institution Evaluation'!$A$55:$F$346,4,0),IFERROR(VLOOKUP($I236,'Privacy Analyst Evaluation'!$A$46:$F$120,4,0),""))&amp;""</f>
        <v/>
      </c>
      <c r="M236" s="216" t="str">
        <f ca="1">IFERROR(VLOOKUP($I236,'Institution Evaluation'!$A$55:$F$346,6,0),IFERROR(VLOOKUP($I236,'Privacy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ht="17">
      <c r="A237" s="216" t="str">
        <f>IFERROR(IF($A236+1&gt;'(backend scoring)'!$T$335,"",$A236+1),"")</f>
        <v/>
      </c>
      <c r="B237" s="216" t="e">
        <f ca="1">_xlfn.XLOOKUP($A237,'(backend scoring)'!$V$2:$V$333,'(backend scoring)'!$A$2:$A$333,"")</f>
        <v>#NAME?</v>
      </c>
      <c r="C237" s="216" t="str">
        <f ca="1">IFERROR(VLOOKUP($B237,'Institution Evaluation'!$A$55:$F$346,2,0),IFERROR(VLOOKUP($B237,'Privacy Analyst Evaluation'!$A$46:$F$120,2,0),""))&amp;""</f>
        <v/>
      </c>
      <c r="D237" s="216" t="str">
        <f ca="1">IFERROR(VLOOKUP($B237,'Institution Evaluation'!$A$55:$F$346,3,0),IFERROR(VLOOKUP($B237,'Privacy Analyst Evaluation'!$A$46:$F$120,3,0),""))&amp;""</f>
        <v/>
      </c>
      <c r="E237" s="216" t="str">
        <f ca="1">IFERROR(VLOOKUP($B237,'Institution Evaluation'!$A$55:$F$346,4,0),IFERROR(VLOOKUP($B237,'Privacy Analyst Evaluation'!$A$46:$F$120,4,0),""))&amp;""</f>
        <v/>
      </c>
      <c r="F237" s="216" t="str">
        <f ca="1">IFERROR(VLOOKUP($B237,'Institution Evaluation'!$A$55:$F$346,6,0),IFERROR(VLOOKUP($B237,'Privacy Analyst Evaluation'!$A$46:$F$120,6,0),""))&amp;""</f>
        <v/>
      </c>
      <c r="G237" s="217"/>
      <c r="H237" s="216" t="str">
        <f>IFERROR(IF($H236+1&gt;'(backend scoring)'!$Q$335,"",$H236+1),"")</f>
        <v/>
      </c>
      <c r="I237" s="216" t="e">
        <f ca="1">_xlfn.XLOOKUP($H237,'(backend scoring)'!$S$2:$S$333,'(backend scoring)'!$A$2:$A$333,"")</f>
        <v>#NAME?</v>
      </c>
      <c r="J237" s="216" t="str">
        <f ca="1">IFERROR(VLOOKUP($I237,'Institution Evaluation'!$A$55:$F$346,2,0),IFERROR(VLOOKUP($I237,'Privacy Analyst Evaluation'!$A$46:$F$120,2,0),""))</f>
        <v/>
      </c>
      <c r="K237" s="216" t="str">
        <f ca="1">IFERROR(VLOOKUP($I237,'Institution Evaluation'!$A$55:$F$346,3,0),IFERROR(VLOOKUP($I237,'Privacy Analyst Evaluation'!$A$46:$F$120,3,0),""))&amp;""</f>
        <v/>
      </c>
      <c r="L237" s="216" t="str">
        <f ca="1">IFERROR(VLOOKUP($I237,'Institution Evaluation'!$A$55:$F$346,4,0),IFERROR(VLOOKUP($I237,'Privacy Analyst Evaluation'!$A$46:$F$120,4,0),""))&amp;""</f>
        <v/>
      </c>
      <c r="M237" s="216" t="str">
        <f ca="1">IFERROR(VLOOKUP($I237,'Institution Evaluation'!$A$55:$F$346,6,0),IFERROR(VLOOKUP($I237,'Privacy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ht="17">
      <c r="A238" s="216" t="str">
        <f>IFERROR(IF($A237+1&gt;'(backend scoring)'!$T$335,"",$A237+1),"")</f>
        <v/>
      </c>
      <c r="B238" s="216" t="e">
        <f ca="1">_xlfn.XLOOKUP($A238,'(backend scoring)'!$V$2:$V$333,'(backend scoring)'!$A$2:$A$333,"")</f>
        <v>#NAME?</v>
      </c>
      <c r="C238" s="216" t="str">
        <f ca="1">IFERROR(VLOOKUP($B238,'Institution Evaluation'!$A$55:$F$346,2,0),IFERROR(VLOOKUP($B238,'Privacy Analyst Evaluation'!$A$46:$F$120,2,0),""))&amp;""</f>
        <v/>
      </c>
      <c r="D238" s="216" t="str">
        <f ca="1">IFERROR(VLOOKUP($B238,'Institution Evaluation'!$A$55:$F$346,3,0),IFERROR(VLOOKUP($B238,'Privacy Analyst Evaluation'!$A$46:$F$120,3,0),""))&amp;""</f>
        <v/>
      </c>
      <c r="E238" s="216" t="str">
        <f ca="1">IFERROR(VLOOKUP($B238,'Institution Evaluation'!$A$55:$F$346,4,0),IFERROR(VLOOKUP($B238,'Privacy Analyst Evaluation'!$A$46:$F$120,4,0),""))&amp;""</f>
        <v/>
      </c>
      <c r="F238" s="216" t="str">
        <f ca="1">IFERROR(VLOOKUP($B238,'Institution Evaluation'!$A$55:$F$346,6,0),IFERROR(VLOOKUP($B238,'Privacy Analyst Evaluation'!$A$46:$F$120,6,0),""))&amp;""</f>
        <v/>
      </c>
      <c r="G238" s="217"/>
      <c r="H238" s="216" t="str">
        <f>IFERROR(IF($H237+1&gt;'(backend scoring)'!$Q$335,"",$H237+1),"")</f>
        <v/>
      </c>
      <c r="I238" s="216" t="e">
        <f ca="1">_xlfn.XLOOKUP($H238,'(backend scoring)'!$S$2:$S$333,'(backend scoring)'!$A$2:$A$333,"")</f>
        <v>#NAME?</v>
      </c>
      <c r="J238" s="216" t="str">
        <f ca="1">IFERROR(VLOOKUP($I238,'Institution Evaluation'!$A$55:$F$346,2,0),IFERROR(VLOOKUP($I238,'Privacy Analyst Evaluation'!$A$46:$F$120,2,0),""))</f>
        <v/>
      </c>
      <c r="K238" s="216" t="str">
        <f ca="1">IFERROR(VLOOKUP($I238,'Institution Evaluation'!$A$55:$F$346,3,0),IFERROR(VLOOKUP($I238,'Privacy Analyst Evaluation'!$A$46:$F$120,3,0),""))&amp;""</f>
        <v/>
      </c>
      <c r="L238" s="216" t="str">
        <f ca="1">IFERROR(VLOOKUP($I238,'Institution Evaluation'!$A$55:$F$346,4,0),IFERROR(VLOOKUP($I238,'Privacy Analyst Evaluation'!$A$46:$F$120,4,0),""))&amp;""</f>
        <v/>
      </c>
      <c r="M238" s="216" t="str">
        <f ca="1">IFERROR(VLOOKUP($I238,'Institution Evaluation'!$A$55:$F$346,6,0),IFERROR(VLOOKUP($I238,'Privacy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ht="17">
      <c r="A239" s="216" t="str">
        <f>IFERROR(IF($A238+1&gt;'(backend scoring)'!$T$335,"",$A238+1),"")</f>
        <v/>
      </c>
      <c r="B239" s="216" t="e">
        <f ca="1">_xlfn.XLOOKUP($A239,'(backend scoring)'!$V$2:$V$333,'(backend scoring)'!$A$2:$A$333,"")</f>
        <v>#NAME?</v>
      </c>
      <c r="C239" s="216" t="str">
        <f ca="1">IFERROR(VLOOKUP($B239,'Institution Evaluation'!$A$55:$F$346,2,0),IFERROR(VLOOKUP($B239,'Privacy Analyst Evaluation'!$A$46:$F$120,2,0),""))&amp;""</f>
        <v/>
      </c>
      <c r="D239" s="216" t="str">
        <f ca="1">IFERROR(VLOOKUP($B239,'Institution Evaluation'!$A$55:$F$346,3,0),IFERROR(VLOOKUP($B239,'Privacy Analyst Evaluation'!$A$46:$F$120,3,0),""))&amp;""</f>
        <v/>
      </c>
      <c r="E239" s="216" t="str">
        <f ca="1">IFERROR(VLOOKUP($B239,'Institution Evaluation'!$A$55:$F$346,4,0),IFERROR(VLOOKUP($B239,'Privacy Analyst Evaluation'!$A$46:$F$120,4,0),""))&amp;""</f>
        <v/>
      </c>
      <c r="F239" s="216" t="str">
        <f ca="1">IFERROR(VLOOKUP($B239,'Institution Evaluation'!$A$55:$F$346,6,0),IFERROR(VLOOKUP($B239,'Privacy Analyst Evaluation'!$A$46:$F$120,6,0),""))&amp;""</f>
        <v/>
      </c>
      <c r="G239" s="217"/>
      <c r="H239" s="216" t="str">
        <f>IFERROR(IF($H238+1&gt;'(backend scoring)'!$Q$335,"",$H238+1),"")</f>
        <v/>
      </c>
      <c r="I239" s="216" t="e">
        <f ca="1">_xlfn.XLOOKUP($H239,'(backend scoring)'!$S$2:$S$333,'(backend scoring)'!$A$2:$A$333,"")</f>
        <v>#NAME?</v>
      </c>
      <c r="J239" s="216" t="str">
        <f ca="1">IFERROR(VLOOKUP($I239,'Institution Evaluation'!$A$55:$F$346,2,0),IFERROR(VLOOKUP($I239,'Privacy Analyst Evaluation'!$A$46:$F$120,2,0),""))</f>
        <v/>
      </c>
      <c r="K239" s="216" t="str">
        <f ca="1">IFERROR(VLOOKUP($I239,'Institution Evaluation'!$A$55:$F$346,3,0),IFERROR(VLOOKUP($I239,'Privacy Analyst Evaluation'!$A$46:$F$120,3,0),""))&amp;""</f>
        <v/>
      </c>
      <c r="L239" s="216" t="str">
        <f ca="1">IFERROR(VLOOKUP($I239,'Institution Evaluation'!$A$55:$F$346,4,0),IFERROR(VLOOKUP($I239,'Privacy Analyst Evaluation'!$A$46:$F$120,4,0),""))&amp;""</f>
        <v/>
      </c>
      <c r="M239" s="216" t="str">
        <f ca="1">IFERROR(VLOOKUP($I239,'Institution Evaluation'!$A$55:$F$346,6,0),IFERROR(VLOOKUP($I239,'Privacy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ht="17">
      <c r="A240" s="216" t="str">
        <f>IFERROR(IF($A239+1&gt;'(backend scoring)'!$T$335,"",$A239+1),"")</f>
        <v/>
      </c>
      <c r="B240" s="216" t="e">
        <f ca="1">_xlfn.XLOOKUP($A240,'(backend scoring)'!$V$2:$V$333,'(backend scoring)'!$A$2:$A$333,"")</f>
        <v>#NAME?</v>
      </c>
      <c r="C240" s="216" t="str">
        <f ca="1">IFERROR(VLOOKUP($B240,'Institution Evaluation'!$A$55:$F$346,2,0),IFERROR(VLOOKUP($B240,'Privacy Analyst Evaluation'!$A$46:$F$120,2,0),""))&amp;""</f>
        <v/>
      </c>
      <c r="D240" s="216" t="str">
        <f ca="1">IFERROR(VLOOKUP($B240,'Institution Evaluation'!$A$55:$F$346,3,0),IFERROR(VLOOKUP($B240,'Privacy Analyst Evaluation'!$A$46:$F$120,3,0),""))&amp;""</f>
        <v/>
      </c>
      <c r="E240" s="216" t="str">
        <f ca="1">IFERROR(VLOOKUP($B240,'Institution Evaluation'!$A$55:$F$346,4,0),IFERROR(VLOOKUP($B240,'Privacy Analyst Evaluation'!$A$46:$F$120,4,0),""))&amp;""</f>
        <v/>
      </c>
      <c r="F240" s="216" t="str">
        <f ca="1">IFERROR(VLOOKUP($B240,'Institution Evaluation'!$A$55:$F$346,6,0),IFERROR(VLOOKUP($B240,'Privacy Analyst Evaluation'!$A$46:$F$120,6,0),""))&amp;""</f>
        <v/>
      </c>
      <c r="G240" s="217"/>
      <c r="H240" s="216" t="str">
        <f>IFERROR(IF($H239+1&gt;'(backend scoring)'!$Q$335,"",$H239+1),"")</f>
        <v/>
      </c>
      <c r="I240" s="216" t="e">
        <f ca="1">_xlfn.XLOOKUP($H240,'(backend scoring)'!$S$2:$S$333,'(backend scoring)'!$A$2:$A$333,"")</f>
        <v>#NAME?</v>
      </c>
      <c r="J240" s="216" t="str">
        <f ca="1">IFERROR(VLOOKUP($I240,'Institution Evaluation'!$A$55:$F$346,2,0),IFERROR(VLOOKUP($I240,'Privacy Analyst Evaluation'!$A$46:$F$120,2,0),""))</f>
        <v/>
      </c>
      <c r="K240" s="216" t="str">
        <f ca="1">IFERROR(VLOOKUP($I240,'Institution Evaluation'!$A$55:$F$346,3,0),IFERROR(VLOOKUP($I240,'Privacy Analyst Evaluation'!$A$46:$F$120,3,0),""))&amp;""</f>
        <v/>
      </c>
      <c r="L240" s="216" t="str">
        <f ca="1">IFERROR(VLOOKUP($I240,'Institution Evaluation'!$A$55:$F$346,4,0),IFERROR(VLOOKUP($I240,'Privacy Analyst Evaluation'!$A$46:$F$120,4,0),""))&amp;""</f>
        <v/>
      </c>
      <c r="M240" s="216" t="str">
        <f ca="1">IFERROR(VLOOKUP($I240,'Institution Evaluation'!$A$55:$F$346,6,0),IFERROR(VLOOKUP($I240,'Privacy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ht="17">
      <c r="A241" s="216" t="str">
        <f>IFERROR(IF($A240+1&gt;'(backend scoring)'!$T$335,"",$A240+1),"")</f>
        <v/>
      </c>
      <c r="B241" s="216" t="e">
        <f ca="1">_xlfn.XLOOKUP($A241,'(backend scoring)'!$V$2:$V$333,'(backend scoring)'!$A$2:$A$333,"")</f>
        <v>#NAME?</v>
      </c>
      <c r="C241" s="216" t="str">
        <f ca="1">IFERROR(VLOOKUP($B241,'Institution Evaluation'!$A$55:$F$346,2,0),IFERROR(VLOOKUP($B241,'Privacy Analyst Evaluation'!$A$46:$F$120,2,0),""))&amp;""</f>
        <v/>
      </c>
      <c r="D241" s="216" t="str">
        <f ca="1">IFERROR(VLOOKUP($B241,'Institution Evaluation'!$A$55:$F$346,3,0),IFERROR(VLOOKUP($B241,'Privacy Analyst Evaluation'!$A$46:$F$120,3,0),""))&amp;""</f>
        <v/>
      </c>
      <c r="E241" s="216" t="str">
        <f ca="1">IFERROR(VLOOKUP($B241,'Institution Evaluation'!$A$55:$F$346,4,0),IFERROR(VLOOKUP($B241,'Privacy Analyst Evaluation'!$A$46:$F$120,4,0),""))&amp;""</f>
        <v/>
      </c>
      <c r="F241" s="216" t="str">
        <f ca="1">IFERROR(VLOOKUP($B241,'Institution Evaluation'!$A$55:$F$346,6,0),IFERROR(VLOOKUP($B241,'Privacy Analyst Evaluation'!$A$46:$F$120,6,0),""))&amp;""</f>
        <v/>
      </c>
      <c r="G241" s="217"/>
      <c r="H241" s="216" t="str">
        <f>IFERROR(IF($H240+1&gt;'(backend scoring)'!$Q$335,"",$H240+1),"")</f>
        <v/>
      </c>
      <c r="I241" s="216" t="e">
        <f ca="1">_xlfn.XLOOKUP($H241,'(backend scoring)'!$S$2:$S$333,'(backend scoring)'!$A$2:$A$333,"")</f>
        <v>#NAME?</v>
      </c>
      <c r="J241" s="216" t="str">
        <f ca="1">IFERROR(VLOOKUP($I241,'Institution Evaluation'!$A$55:$F$346,2,0),IFERROR(VLOOKUP($I241,'Privacy Analyst Evaluation'!$A$46:$F$120,2,0),""))</f>
        <v/>
      </c>
      <c r="K241" s="216" t="str">
        <f ca="1">IFERROR(VLOOKUP($I241,'Institution Evaluation'!$A$55:$F$346,3,0),IFERROR(VLOOKUP($I241,'Privacy Analyst Evaluation'!$A$46:$F$120,3,0),""))&amp;""</f>
        <v/>
      </c>
      <c r="L241" s="216" t="str">
        <f ca="1">IFERROR(VLOOKUP($I241,'Institution Evaluation'!$A$55:$F$346,4,0),IFERROR(VLOOKUP($I241,'Privacy Analyst Evaluation'!$A$46:$F$120,4,0),""))&amp;""</f>
        <v/>
      </c>
      <c r="M241" s="216" t="str">
        <f ca="1">IFERROR(VLOOKUP($I241,'Institution Evaluation'!$A$55:$F$346,6,0),IFERROR(VLOOKUP($I241,'Privacy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ht="17">
      <c r="A242" s="216" t="str">
        <f>IFERROR(IF($A241+1&gt;'(backend scoring)'!$T$335,"",$A241+1),"")</f>
        <v/>
      </c>
      <c r="B242" s="216" t="e">
        <f ca="1">_xlfn.XLOOKUP($A242,'(backend scoring)'!$V$2:$V$333,'(backend scoring)'!$A$2:$A$333,"")</f>
        <v>#NAME?</v>
      </c>
      <c r="C242" s="216" t="str">
        <f ca="1">IFERROR(VLOOKUP($B242,'Institution Evaluation'!$A$55:$F$346,2,0),IFERROR(VLOOKUP($B242,'Privacy Analyst Evaluation'!$A$46:$F$120,2,0),""))&amp;""</f>
        <v/>
      </c>
      <c r="D242" s="216" t="str">
        <f ca="1">IFERROR(VLOOKUP($B242,'Institution Evaluation'!$A$55:$F$346,3,0),IFERROR(VLOOKUP($B242,'Privacy Analyst Evaluation'!$A$46:$F$120,3,0),""))&amp;""</f>
        <v/>
      </c>
      <c r="E242" s="216" t="str">
        <f ca="1">IFERROR(VLOOKUP($B242,'Institution Evaluation'!$A$55:$F$346,4,0),IFERROR(VLOOKUP($B242,'Privacy Analyst Evaluation'!$A$46:$F$120,4,0),""))&amp;""</f>
        <v/>
      </c>
      <c r="F242" s="216" t="str">
        <f ca="1">IFERROR(VLOOKUP($B242,'Institution Evaluation'!$A$55:$F$346,6,0),IFERROR(VLOOKUP($B242,'Privacy Analyst Evaluation'!$A$46:$F$120,6,0),""))&amp;""</f>
        <v/>
      </c>
      <c r="G242" s="217"/>
      <c r="H242" s="216" t="str">
        <f>IFERROR(IF($H241+1&gt;'(backend scoring)'!$Q$335,"",$H241+1),"")</f>
        <v/>
      </c>
      <c r="I242" s="216" t="e">
        <f ca="1">_xlfn.XLOOKUP($H242,'(backend scoring)'!$S$2:$S$333,'(backend scoring)'!$A$2:$A$333,"")</f>
        <v>#NAME?</v>
      </c>
      <c r="J242" s="216" t="str">
        <f ca="1">IFERROR(VLOOKUP($I242,'Institution Evaluation'!$A$55:$F$346,2,0),IFERROR(VLOOKUP($I242,'Privacy Analyst Evaluation'!$A$46:$F$120,2,0),""))</f>
        <v/>
      </c>
      <c r="K242" s="216" t="str">
        <f ca="1">IFERROR(VLOOKUP($I242,'Institution Evaluation'!$A$55:$F$346,3,0),IFERROR(VLOOKUP($I242,'Privacy Analyst Evaluation'!$A$46:$F$120,3,0),""))&amp;""</f>
        <v/>
      </c>
      <c r="L242" s="216" t="str">
        <f ca="1">IFERROR(VLOOKUP($I242,'Institution Evaluation'!$A$55:$F$346,4,0),IFERROR(VLOOKUP($I242,'Privacy Analyst Evaluation'!$A$46:$F$120,4,0),""))&amp;""</f>
        <v/>
      </c>
      <c r="M242" s="216" t="str">
        <f ca="1">IFERROR(VLOOKUP($I242,'Institution Evaluation'!$A$55:$F$346,6,0),IFERROR(VLOOKUP($I242,'Privacy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ht="17">
      <c r="A243" s="216" t="str">
        <f>IFERROR(IF($A242+1&gt;'(backend scoring)'!$T$335,"",$A242+1),"")</f>
        <v/>
      </c>
      <c r="B243" s="216" t="e">
        <f ca="1">_xlfn.XLOOKUP($A243,'(backend scoring)'!$V$2:$V$333,'(backend scoring)'!$A$2:$A$333,"")</f>
        <v>#NAME?</v>
      </c>
      <c r="C243" s="216" t="str">
        <f ca="1">IFERROR(VLOOKUP($B243,'Institution Evaluation'!$A$55:$F$346,2,0),IFERROR(VLOOKUP($B243,'Privacy Analyst Evaluation'!$A$46:$F$120,2,0),""))&amp;""</f>
        <v/>
      </c>
      <c r="D243" s="216" t="str">
        <f ca="1">IFERROR(VLOOKUP($B243,'Institution Evaluation'!$A$55:$F$346,3,0),IFERROR(VLOOKUP($B243,'Privacy Analyst Evaluation'!$A$46:$F$120,3,0),""))&amp;""</f>
        <v/>
      </c>
      <c r="E243" s="216" t="str">
        <f ca="1">IFERROR(VLOOKUP($B243,'Institution Evaluation'!$A$55:$F$346,4,0),IFERROR(VLOOKUP($B243,'Privacy Analyst Evaluation'!$A$46:$F$120,4,0),""))&amp;""</f>
        <v/>
      </c>
      <c r="F243" s="216" t="str">
        <f ca="1">IFERROR(VLOOKUP($B243,'Institution Evaluation'!$A$55:$F$346,6,0),IFERROR(VLOOKUP($B243,'Privacy Analyst Evaluation'!$A$46:$F$120,6,0),""))&amp;""</f>
        <v/>
      </c>
      <c r="G243" s="217"/>
      <c r="H243" s="216" t="str">
        <f>IFERROR(IF($H242+1&gt;'(backend scoring)'!$Q$335,"",$H242+1),"")</f>
        <v/>
      </c>
      <c r="I243" s="216" t="e">
        <f ca="1">_xlfn.XLOOKUP($H243,'(backend scoring)'!$S$2:$S$333,'(backend scoring)'!$A$2:$A$333,"")</f>
        <v>#NAME?</v>
      </c>
      <c r="J243" s="216" t="str">
        <f ca="1">IFERROR(VLOOKUP($I243,'Institution Evaluation'!$A$55:$F$346,2,0),IFERROR(VLOOKUP($I243,'Privacy Analyst Evaluation'!$A$46:$F$120,2,0),""))</f>
        <v/>
      </c>
      <c r="K243" s="216" t="str">
        <f ca="1">IFERROR(VLOOKUP($I243,'Institution Evaluation'!$A$55:$F$346,3,0),IFERROR(VLOOKUP($I243,'Privacy Analyst Evaluation'!$A$46:$F$120,3,0),""))&amp;""</f>
        <v/>
      </c>
      <c r="L243" s="216" t="str">
        <f ca="1">IFERROR(VLOOKUP($I243,'Institution Evaluation'!$A$55:$F$346,4,0),IFERROR(VLOOKUP($I243,'Privacy Analyst Evaluation'!$A$46:$F$120,4,0),""))&amp;""</f>
        <v/>
      </c>
      <c r="M243" s="216" t="str">
        <f ca="1">IFERROR(VLOOKUP($I243,'Institution Evaluation'!$A$55:$F$346,6,0),IFERROR(VLOOKUP($I243,'Privacy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ht="17">
      <c r="A244" s="216" t="str">
        <f>IFERROR(IF($A243+1&gt;'(backend scoring)'!$T$335,"",$A243+1),"")</f>
        <v/>
      </c>
      <c r="B244" s="216" t="e">
        <f ca="1">_xlfn.XLOOKUP($A244,'(backend scoring)'!$V$2:$V$333,'(backend scoring)'!$A$2:$A$333,"")</f>
        <v>#NAME?</v>
      </c>
      <c r="C244" s="216" t="str">
        <f ca="1">IFERROR(VLOOKUP($B244,'Institution Evaluation'!$A$55:$F$346,2,0),IFERROR(VLOOKUP($B244,'Privacy Analyst Evaluation'!$A$46:$F$120,2,0),""))&amp;""</f>
        <v/>
      </c>
      <c r="D244" s="216" t="str">
        <f ca="1">IFERROR(VLOOKUP($B244,'Institution Evaluation'!$A$55:$F$346,3,0),IFERROR(VLOOKUP($B244,'Privacy Analyst Evaluation'!$A$46:$F$120,3,0),""))&amp;""</f>
        <v/>
      </c>
      <c r="E244" s="216" t="str">
        <f ca="1">IFERROR(VLOOKUP($B244,'Institution Evaluation'!$A$55:$F$346,4,0),IFERROR(VLOOKUP($B244,'Privacy Analyst Evaluation'!$A$46:$F$120,4,0),""))&amp;""</f>
        <v/>
      </c>
      <c r="F244" s="216" t="str">
        <f ca="1">IFERROR(VLOOKUP($B244,'Institution Evaluation'!$A$55:$F$346,6,0),IFERROR(VLOOKUP($B244,'Privacy Analyst Evaluation'!$A$46:$F$120,6,0),""))&amp;""</f>
        <v/>
      </c>
      <c r="G244" s="217"/>
      <c r="H244" s="216" t="str">
        <f>IFERROR(IF($H243+1&gt;'(backend scoring)'!$Q$335,"",$H243+1),"")</f>
        <v/>
      </c>
      <c r="I244" s="216" t="e">
        <f ca="1">_xlfn.XLOOKUP($H244,'(backend scoring)'!$S$2:$S$333,'(backend scoring)'!$A$2:$A$333,"")</f>
        <v>#NAME?</v>
      </c>
      <c r="J244" s="216" t="str">
        <f ca="1">IFERROR(VLOOKUP($I244,'Institution Evaluation'!$A$55:$F$346,2,0),IFERROR(VLOOKUP($I244,'Privacy Analyst Evaluation'!$A$46:$F$120,2,0),""))</f>
        <v/>
      </c>
      <c r="K244" s="216" t="str">
        <f ca="1">IFERROR(VLOOKUP($I244,'Institution Evaluation'!$A$55:$F$346,3,0),IFERROR(VLOOKUP($I244,'Privacy Analyst Evaluation'!$A$46:$F$120,3,0),""))&amp;""</f>
        <v/>
      </c>
      <c r="L244" s="216" t="str">
        <f ca="1">IFERROR(VLOOKUP($I244,'Institution Evaluation'!$A$55:$F$346,4,0),IFERROR(VLOOKUP($I244,'Privacy Analyst Evaluation'!$A$46:$F$120,4,0),""))&amp;""</f>
        <v/>
      </c>
      <c r="M244" s="216" t="str">
        <f ca="1">IFERROR(VLOOKUP($I244,'Institution Evaluation'!$A$55:$F$346,6,0),IFERROR(VLOOKUP($I244,'Privacy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ht="17">
      <c r="A245" s="216" t="str">
        <f>IFERROR(IF($A244+1&gt;'(backend scoring)'!$T$335,"",$A244+1),"")</f>
        <v/>
      </c>
      <c r="B245" s="216" t="e">
        <f ca="1">_xlfn.XLOOKUP($A245,'(backend scoring)'!$V$2:$V$333,'(backend scoring)'!$A$2:$A$333,"")</f>
        <v>#NAME?</v>
      </c>
      <c r="C245" s="216" t="str">
        <f ca="1">IFERROR(VLOOKUP($B245,'Institution Evaluation'!$A$55:$F$346,2,0),IFERROR(VLOOKUP($B245,'Privacy Analyst Evaluation'!$A$46:$F$120,2,0),""))&amp;""</f>
        <v/>
      </c>
      <c r="D245" s="216" t="str">
        <f ca="1">IFERROR(VLOOKUP($B245,'Institution Evaluation'!$A$55:$F$346,3,0),IFERROR(VLOOKUP($B245,'Privacy Analyst Evaluation'!$A$46:$F$120,3,0),""))&amp;""</f>
        <v/>
      </c>
      <c r="E245" s="216" t="str">
        <f ca="1">IFERROR(VLOOKUP($B245,'Institution Evaluation'!$A$55:$F$346,4,0),IFERROR(VLOOKUP($B245,'Privacy Analyst Evaluation'!$A$46:$F$120,4,0),""))&amp;""</f>
        <v/>
      </c>
      <c r="F245" s="216" t="str">
        <f ca="1">IFERROR(VLOOKUP($B245,'Institution Evaluation'!$A$55:$F$346,6,0),IFERROR(VLOOKUP($B245,'Privacy Analyst Evaluation'!$A$46:$F$120,6,0),""))&amp;""</f>
        <v/>
      </c>
      <c r="G245" s="217"/>
      <c r="H245" s="216" t="str">
        <f>IFERROR(IF($H244+1&gt;'(backend scoring)'!$Q$335,"",$H244+1),"")</f>
        <v/>
      </c>
      <c r="I245" s="216" t="e">
        <f ca="1">_xlfn.XLOOKUP($H245,'(backend scoring)'!$S$2:$S$333,'(backend scoring)'!$A$2:$A$333,"")</f>
        <v>#NAME?</v>
      </c>
      <c r="J245" s="216" t="str">
        <f ca="1">IFERROR(VLOOKUP($I245,'Institution Evaluation'!$A$55:$F$346,2,0),IFERROR(VLOOKUP($I245,'Privacy Analyst Evaluation'!$A$46:$F$120,2,0),""))</f>
        <v/>
      </c>
      <c r="K245" s="216" t="str">
        <f ca="1">IFERROR(VLOOKUP($I245,'Institution Evaluation'!$A$55:$F$346,3,0),IFERROR(VLOOKUP($I245,'Privacy Analyst Evaluation'!$A$46:$F$120,3,0),""))&amp;""</f>
        <v/>
      </c>
      <c r="L245" s="216" t="str">
        <f ca="1">IFERROR(VLOOKUP($I245,'Institution Evaluation'!$A$55:$F$346,4,0),IFERROR(VLOOKUP($I245,'Privacy Analyst Evaluation'!$A$46:$F$120,4,0),""))&amp;""</f>
        <v/>
      </c>
      <c r="M245" s="216" t="str">
        <f ca="1">IFERROR(VLOOKUP($I245,'Institution Evaluation'!$A$55:$F$346,6,0),IFERROR(VLOOKUP($I245,'Privacy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ht="17">
      <c r="A246" s="216" t="str">
        <f>IFERROR(IF($A245+1&gt;'(backend scoring)'!$T$335,"",$A245+1),"")</f>
        <v/>
      </c>
      <c r="B246" s="216" t="e">
        <f ca="1">_xlfn.XLOOKUP($A246,'(backend scoring)'!$V$2:$V$333,'(backend scoring)'!$A$2:$A$333,"")</f>
        <v>#NAME?</v>
      </c>
      <c r="C246" s="216" t="str">
        <f ca="1">IFERROR(VLOOKUP($B246,'Institution Evaluation'!$A$55:$F$346,2,0),IFERROR(VLOOKUP($B246,'Privacy Analyst Evaluation'!$A$46:$F$120,2,0),""))&amp;""</f>
        <v/>
      </c>
      <c r="D246" s="216" t="str">
        <f ca="1">IFERROR(VLOOKUP($B246,'Institution Evaluation'!$A$55:$F$346,3,0),IFERROR(VLOOKUP($B246,'Privacy Analyst Evaluation'!$A$46:$F$120,3,0),""))&amp;""</f>
        <v/>
      </c>
      <c r="E246" s="216" t="str">
        <f ca="1">IFERROR(VLOOKUP($B246,'Institution Evaluation'!$A$55:$F$346,4,0),IFERROR(VLOOKUP($B246,'Privacy Analyst Evaluation'!$A$46:$F$120,4,0),""))&amp;""</f>
        <v/>
      </c>
      <c r="F246" s="216" t="str">
        <f ca="1">IFERROR(VLOOKUP($B246,'Institution Evaluation'!$A$55:$F$346,6,0),IFERROR(VLOOKUP($B246,'Privacy Analyst Evaluation'!$A$46:$F$120,6,0),""))&amp;""</f>
        <v/>
      </c>
      <c r="G246" s="217"/>
      <c r="H246" s="216" t="str">
        <f>IFERROR(IF($H245+1&gt;'(backend scoring)'!$Q$335,"",$H245+1),"")</f>
        <v/>
      </c>
      <c r="I246" s="216" t="e">
        <f ca="1">_xlfn.XLOOKUP($H246,'(backend scoring)'!$S$2:$S$333,'(backend scoring)'!$A$2:$A$333,"")</f>
        <v>#NAME?</v>
      </c>
      <c r="J246" s="216" t="str">
        <f ca="1">IFERROR(VLOOKUP($I246,'Institution Evaluation'!$A$55:$F$346,2,0),IFERROR(VLOOKUP($I246,'Privacy Analyst Evaluation'!$A$46:$F$120,2,0),""))</f>
        <v/>
      </c>
      <c r="K246" s="216" t="str">
        <f ca="1">IFERROR(VLOOKUP($I246,'Institution Evaluation'!$A$55:$F$346,3,0),IFERROR(VLOOKUP($I246,'Privacy Analyst Evaluation'!$A$46:$F$120,3,0),""))&amp;""</f>
        <v/>
      </c>
      <c r="L246" s="216" t="str">
        <f ca="1">IFERROR(VLOOKUP($I246,'Institution Evaluation'!$A$55:$F$346,4,0),IFERROR(VLOOKUP($I246,'Privacy Analyst Evaluation'!$A$46:$F$120,4,0),""))&amp;""</f>
        <v/>
      </c>
      <c r="M246" s="216" t="str">
        <f ca="1">IFERROR(VLOOKUP($I246,'Institution Evaluation'!$A$55:$F$346,6,0),IFERROR(VLOOKUP($I246,'Privacy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ht="17">
      <c r="A247" s="216" t="str">
        <f>IFERROR(IF($A246+1&gt;'(backend scoring)'!$T$335,"",$A246+1),"")</f>
        <v/>
      </c>
      <c r="B247" s="216" t="e">
        <f ca="1">_xlfn.XLOOKUP($A247,'(backend scoring)'!$V$2:$V$333,'(backend scoring)'!$A$2:$A$333,"")</f>
        <v>#NAME?</v>
      </c>
      <c r="C247" s="216" t="str">
        <f ca="1">IFERROR(VLOOKUP($B247,'Institution Evaluation'!$A$55:$F$346,2,0),IFERROR(VLOOKUP($B247,'Privacy Analyst Evaluation'!$A$46:$F$120,2,0),""))&amp;""</f>
        <v/>
      </c>
      <c r="D247" s="216" t="str">
        <f ca="1">IFERROR(VLOOKUP($B247,'Institution Evaluation'!$A$55:$F$346,3,0),IFERROR(VLOOKUP($B247,'Privacy Analyst Evaluation'!$A$46:$F$120,3,0),""))&amp;""</f>
        <v/>
      </c>
      <c r="E247" s="216" t="str">
        <f ca="1">IFERROR(VLOOKUP($B247,'Institution Evaluation'!$A$55:$F$346,4,0),IFERROR(VLOOKUP($B247,'Privacy Analyst Evaluation'!$A$46:$F$120,4,0),""))&amp;""</f>
        <v/>
      </c>
      <c r="F247" s="216" t="str">
        <f ca="1">IFERROR(VLOOKUP($B247,'Institution Evaluation'!$A$55:$F$346,6,0),IFERROR(VLOOKUP($B247,'Privacy Analyst Evaluation'!$A$46:$F$120,6,0),""))&amp;""</f>
        <v/>
      </c>
      <c r="G247" s="217"/>
      <c r="H247" s="216" t="str">
        <f>IFERROR(IF($H246+1&gt;'(backend scoring)'!$Q$335,"",$H246+1),"")</f>
        <v/>
      </c>
      <c r="I247" s="216" t="e">
        <f ca="1">_xlfn.XLOOKUP($H247,'(backend scoring)'!$S$2:$S$333,'(backend scoring)'!$A$2:$A$333,"")</f>
        <v>#NAME?</v>
      </c>
      <c r="J247" s="216" t="str">
        <f ca="1">IFERROR(VLOOKUP($I247,'Institution Evaluation'!$A$55:$F$346,2,0),IFERROR(VLOOKUP($I247,'Privacy Analyst Evaluation'!$A$46:$F$120,2,0),""))</f>
        <v/>
      </c>
      <c r="K247" s="216" t="str">
        <f ca="1">IFERROR(VLOOKUP($I247,'Institution Evaluation'!$A$55:$F$346,3,0),IFERROR(VLOOKUP($I247,'Privacy Analyst Evaluation'!$A$46:$F$120,3,0),""))&amp;""</f>
        <v/>
      </c>
      <c r="L247" s="216" t="str">
        <f ca="1">IFERROR(VLOOKUP($I247,'Institution Evaluation'!$A$55:$F$346,4,0),IFERROR(VLOOKUP($I247,'Privacy Analyst Evaluation'!$A$46:$F$120,4,0),""))&amp;""</f>
        <v/>
      </c>
      <c r="M247" s="216" t="str">
        <f ca="1">IFERROR(VLOOKUP($I247,'Institution Evaluation'!$A$55:$F$346,6,0),IFERROR(VLOOKUP($I247,'Privacy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ht="17">
      <c r="A248" s="216" t="str">
        <f>IFERROR(IF($A247+1&gt;'(backend scoring)'!$T$335,"",$A247+1),"")</f>
        <v/>
      </c>
      <c r="B248" s="216" t="e">
        <f ca="1">_xlfn.XLOOKUP($A248,'(backend scoring)'!$V$2:$V$333,'(backend scoring)'!$A$2:$A$333,"")</f>
        <v>#NAME?</v>
      </c>
      <c r="C248" s="216" t="str">
        <f ca="1">IFERROR(VLOOKUP($B248,'Institution Evaluation'!$A$55:$F$346,2,0),IFERROR(VLOOKUP($B248,'Privacy Analyst Evaluation'!$A$46:$F$120,2,0),""))&amp;""</f>
        <v/>
      </c>
      <c r="D248" s="216" t="str">
        <f ca="1">IFERROR(VLOOKUP($B248,'Institution Evaluation'!$A$55:$F$346,3,0),IFERROR(VLOOKUP($B248,'Privacy Analyst Evaluation'!$A$46:$F$120,3,0),""))&amp;""</f>
        <v/>
      </c>
      <c r="E248" s="216" t="str">
        <f ca="1">IFERROR(VLOOKUP($B248,'Institution Evaluation'!$A$55:$F$346,4,0),IFERROR(VLOOKUP($B248,'Privacy Analyst Evaluation'!$A$46:$F$120,4,0),""))&amp;""</f>
        <v/>
      </c>
      <c r="F248" s="216" t="str">
        <f ca="1">IFERROR(VLOOKUP($B248,'Institution Evaluation'!$A$55:$F$346,6,0),IFERROR(VLOOKUP($B248,'Privacy Analyst Evaluation'!$A$46:$F$120,6,0),""))&amp;""</f>
        <v/>
      </c>
      <c r="G248" s="217"/>
      <c r="H248" s="216" t="str">
        <f>IFERROR(IF($H247+1&gt;'(backend scoring)'!$Q$335,"",$H247+1),"")</f>
        <v/>
      </c>
      <c r="I248" s="216" t="e">
        <f ca="1">_xlfn.XLOOKUP($H248,'(backend scoring)'!$S$2:$S$333,'(backend scoring)'!$A$2:$A$333,"")</f>
        <v>#NAME?</v>
      </c>
      <c r="J248" s="216" t="str">
        <f ca="1">IFERROR(VLOOKUP($I248,'Institution Evaluation'!$A$55:$F$346,2,0),IFERROR(VLOOKUP($I248,'Privacy Analyst Evaluation'!$A$46:$F$120,2,0),""))</f>
        <v/>
      </c>
      <c r="K248" s="216" t="str">
        <f ca="1">IFERROR(VLOOKUP($I248,'Institution Evaluation'!$A$55:$F$346,3,0),IFERROR(VLOOKUP($I248,'Privacy Analyst Evaluation'!$A$46:$F$120,3,0),""))&amp;""</f>
        <v/>
      </c>
      <c r="L248" s="216" t="str">
        <f ca="1">IFERROR(VLOOKUP($I248,'Institution Evaluation'!$A$55:$F$346,4,0),IFERROR(VLOOKUP($I248,'Privacy Analyst Evaluation'!$A$46:$F$120,4,0),""))&amp;""</f>
        <v/>
      </c>
      <c r="M248" s="216" t="str">
        <f ca="1">IFERROR(VLOOKUP($I248,'Institution Evaluation'!$A$55:$F$346,6,0),IFERROR(VLOOKUP($I248,'Privacy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ht="17">
      <c r="A249" s="216" t="str">
        <f>IFERROR(IF($A248+1&gt;'(backend scoring)'!$T$335,"",$A248+1),"")</f>
        <v/>
      </c>
      <c r="B249" s="216" t="e">
        <f ca="1">_xlfn.XLOOKUP($A249,'(backend scoring)'!$V$2:$V$333,'(backend scoring)'!$A$2:$A$333,"")</f>
        <v>#NAME?</v>
      </c>
      <c r="C249" s="216" t="str">
        <f ca="1">IFERROR(VLOOKUP($B249,'Institution Evaluation'!$A$55:$F$346,2,0),IFERROR(VLOOKUP($B249,'Privacy Analyst Evaluation'!$A$46:$F$120,2,0),""))&amp;""</f>
        <v/>
      </c>
      <c r="D249" s="216" t="str">
        <f ca="1">IFERROR(VLOOKUP($B249,'Institution Evaluation'!$A$55:$F$346,3,0),IFERROR(VLOOKUP($B249,'Privacy Analyst Evaluation'!$A$46:$F$120,3,0),""))&amp;""</f>
        <v/>
      </c>
      <c r="E249" s="216" t="str">
        <f ca="1">IFERROR(VLOOKUP($B249,'Institution Evaluation'!$A$55:$F$346,4,0),IFERROR(VLOOKUP($B249,'Privacy Analyst Evaluation'!$A$46:$F$120,4,0),""))&amp;""</f>
        <v/>
      </c>
      <c r="F249" s="216" t="str">
        <f ca="1">IFERROR(VLOOKUP($B249,'Institution Evaluation'!$A$55:$F$346,6,0),IFERROR(VLOOKUP($B249,'Privacy Analyst Evaluation'!$A$46:$F$120,6,0),""))&amp;""</f>
        <v/>
      </c>
      <c r="G249" s="217"/>
      <c r="H249" s="216" t="str">
        <f>IFERROR(IF($H248+1&gt;'(backend scoring)'!$Q$335,"",$H248+1),"")</f>
        <v/>
      </c>
      <c r="I249" s="216" t="e">
        <f ca="1">_xlfn.XLOOKUP($H249,'(backend scoring)'!$S$2:$S$333,'(backend scoring)'!$A$2:$A$333,"")</f>
        <v>#NAME?</v>
      </c>
      <c r="J249" s="216" t="str">
        <f ca="1">IFERROR(VLOOKUP($I249,'Institution Evaluation'!$A$55:$F$346,2,0),IFERROR(VLOOKUP($I249,'Privacy Analyst Evaluation'!$A$46:$F$120,2,0),""))</f>
        <v/>
      </c>
      <c r="K249" s="216" t="str">
        <f ca="1">IFERROR(VLOOKUP($I249,'Institution Evaluation'!$A$55:$F$346,3,0),IFERROR(VLOOKUP($I249,'Privacy Analyst Evaluation'!$A$46:$F$120,3,0),""))&amp;""</f>
        <v/>
      </c>
      <c r="L249" s="216" t="str">
        <f ca="1">IFERROR(VLOOKUP($I249,'Institution Evaluation'!$A$55:$F$346,4,0),IFERROR(VLOOKUP($I249,'Privacy Analyst Evaluation'!$A$46:$F$120,4,0),""))&amp;""</f>
        <v/>
      </c>
      <c r="M249" s="216" t="str">
        <f ca="1">IFERROR(VLOOKUP($I249,'Institution Evaluation'!$A$55:$F$346,6,0),IFERROR(VLOOKUP($I249,'Privacy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ht="17">
      <c r="A250" s="216" t="str">
        <f>IFERROR(IF($A249+1&gt;'(backend scoring)'!$T$335,"",$A249+1),"")</f>
        <v/>
      </c>
      <c r="B250" s="216" t="e">
        <f ca="1">_xlfn.XLOOKUP($A250,'(backend scoring)'!$V$2:$V$333,'(backend scoring)'!$A$2:$A$333,"")</f>
        <v>#NAME?</v>
      </c>
      <c r="C250" s="216" t="str">
        <f ca="1">IFERROR(VLOOKUP($B250,'Institution Evaluation'!$A$55:$F$346,2,0),IFERROR(VLOOKUP($B250,'Privacy Analyst Evaluation'!$A$46:$F$120,2,0),""))&amp;""</f>
        <v/>
      </c>
      <c r="D250" s="216" t="str">
        <f ca="1">IFERROR(VLOOKUP($B250,'Institution Evaluation'!$A$55:$F$346,3,0),IFERROR(VLOOKUP($B250,'Privacy Analyst Evaluation'!$A$46:$F$120,3,0),""))&amp;""</f>
        <v/>
      </c>
      <c r="E250" s="216" t="str">
        <f ca="1">IFERROR(VLOOKUP($B250,'Institution Evaluation'!$A$55:$F$346,4,0),IFERROR(VLOOKUP($B250,'Privacy Analyst Evaluation'!$A$46:$F$120,4,0),""))&amp;""</f>
        <v/>
      </c>
      <c r="F250" s="216" t="str">
        <f ca="1">IFERROR(VLOOKUP($B250,'Institution Evaluation'!$A$55:$F$346,6,0),IFERROR(VLOOKUP($B250,'Privacy Analyst Evaluation'!$A$46:$F$120,6,0),""))&amp;""</f>
        <v/>
      </c>
      <c r="G250" s="217"/>
      <c r="H250" s="216" t="str">
        <f>IFERROR(IF($H249+1&gt;'(backend scoring)'!$Q$335,"",$H249+1),"")</f>
        <v/>
      </c>
      <c r="I250" s="216" t="e">
        <f ca="1">_xlfn.XLOOKUP($H250,'(backend scoring)'!$S$2:$S$333,'(backend scoring)'!$A$2:$A$333,"")</f>
        <v>#NAME?</v>
      </c>
      <c r="J250" s="216" t="str">
        <f ca="1">IFERROR(VLOOKUP($I250,'Institution Evaluation'!$A$55:$F$346,2,0),IFERROR(VLOOKUP($I250,'Privacy Analyst Evaluation'!$A$46:$F$120,2,0),""))</f>
        <v/>
      </c>
      <c r="K250" s="216" t="str">
        <f ca="1">IFERROR(VLOOKUP($I250,'Institution Evaluation'!$A$55:$F$346,3,0),IFERROR(VLOOKUP($I250,'Privacy Analyst Evaluation'!$A$46:$F$120,3,0),""))&amp;""</f>
        <v/>
      </c>
      <c r="L250" s="216" t="str">
        <f ca="1">IFERROR(VLOOKUP($I250,'Institution Evaluation'!$A$55:$F$346,4,0),IFERROR(VLOOKUP($I250,'Privacy Analyst Evaluation'!$A$46:$F$120,4,0),""))&amp;""</f>
        <v/>
      </c>
      <c r="M250" s="216" t="str">
        <f ca="1">IFERROR(VLOOKUP($I250,'Institution Evaluation'!$A$55:$F$346,6,0),IFERROR(VLOOKUP($I250,'Privacy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ht="17">
      <c r="A251" s="216" t="str">
        <f>IFERROR(IF($A250+1&gt;'(backend scoring)'!$T$335,"",$A250+1),"")</f>
        <v/>
      </c>
      <c r="B251" s="216" t="e">
        <f ca="1">_xlfn.XLOOKUP($A251,'(backend scoring)'!$V$2:$V$333,'(backend scoring)'!$A$2:$A$333,"")</f>
        <v>#NAME?</v>
      </c>
      <c r="C251" s="216" t="str">
        <f ca="1">IFERROR(VLOOKUP($B251,'Institution Evaluation'!$A$55:$F$346,2,0),IFERROR(VLOOKUP($B251,'Privacy Analyst Evaluation'!$A$46:$F$120,2,0),""))&amp;""</f>
        <v/>
      </c>
      <c r="D251" s="216" t="str">
        <f ca="1">IFERROR(VLOOKUP($B251,'Institution Evaluation'!$A$55:$F$346,3,0),IFERROR(VLOOKUP($B251,'Privacy Analyst Evaluation'!$A$46:$F$120,3,0),""))&amp;""</f>
        <v/>
      </c>
      <c r="E251" s="216" t="str">
        <f ca="1">IFERROR(VLOOKUP($B251,'Institution Evaluation'!$A$55:$F$346,4,0),IFERROR(VLOOKUP($B251,'Privacy Analyst Evaluation'!$A$46:$F$120,4,0),""))&amp;""</f>
        <v/>
      </c>
      <c r="F251" s="216" t="str">
        <f ca="1">IFERROR(VLOOKUP($B251,'Institution Evaluation'!$A$55:$F$346,6,0),IFERROR(VLOOKUP($B251,'Privacy Analyst Evaluation'!$A$46:$F$120,6,0),""))&amp;""</f>
        <v/>
      </c>
      <c r="G251" s="217"/>
      <c r="H251" s="216" t="str">
        <f>IFERROR(IF($H250+1&gt;'(backend scoring)'!$Q$335,"",$H250+1),"")</f>
        <v/>
      </c>
      <c r="I251" s="216" t="e">
        <f ca="1">_xlfn.XLOOKUP($H251,'(backend scoring)'!$S$2:$S$333,'(backend scoring)'!$A$2:$A$333,"")</f>
        <v>#NAME?</v>
      </c>
      <c r="J251" s="216" t="str">
        <f ca="1">IFERROR(VLOOKUP($I251,'Institution Evaluation'!$A$55:$F$346,2,0),IFERROR(VLOOKUP($I251,'Privacy Analyst Evaluation'!$A$46:$F$120,2,0),""))</f>
        <v/>
      </c>
      <c r="K251" s="216" t="str">
        <f ca="1">IFERROR(VLOOKUP($I251,'Institution Evaluation'!$A$55:$F$346,3,0),IFERROR(VLOOKUP($I251,'Privacy Analyst Evaluation'!$A$46:$F$120,3,0),""))&amp;""</f>
        <v/>
      </c>
      <c r="L251" s="216" t="str">
        <f ca="1">IFERROR(VLOOKUP($I251,'Institution Evaluation'!$A$55:$F$346,4,0),IFERROR(VLOOKUP($I251,'Privacy Analyst Evaluation'!$A$46:$F$120,4,0),""))&amp;""</f>
        <v/>
      </c>
      <c r="M251" s="216" t="str">
        <f ca="1">IFERROR(VLOOKUP($I251,'Institution Evaluation'!$A$55:$F$346,6,0),IFERROR(VLOOKUP($I251,'Privacy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ht="17">
      <c r="A252" s="216" t="str">
        <f>IFERROR(IF($A251+1&gt;'(backend scoring)'!$T$335,"",$A251+1),"")</f>
        <v/>
      </c>
      <c r="B252" s="216" t="e">
        <f ca="1">_xlfn.XLOOKUP($A252,'(backend scoring)'!$V$2:$V$333,'(backend scoring)'!$A$2:$A$333,"")</f>
        <v>#NAME?</v>
      </c>
      <c r="C252" s="216" t="str">
        <f ca="1">IFERROR(VLOOKUP($B252,'Institution Evaluation'!$A$55:$F$346,2,0),IFERROR(VLOOKUP($B252,'Privacy Analyst Evaluation'!$A$46:$F$120,2,0),""))&amp;""</f>
        <v/>
      </c>
      <c r="D252" s="216" t="str">
        <f ca="1">IFERROR(VLOOKUP($B252,'Institution Evaluation'!$A$55:$F$346,3,0),IFERROR(VLOOKUP($B252,'Privacy Analyst Evaluation'!$A$46:$F$120,3,0),""))&amp;""</f>
        <v/>
      </c>
      <c r="E252" s="216" t="str">
        <f ca="1">IFERROR(VLOOKUP($B252,'Institution Evaluation'!$A$55:$F$346,4,0),IFERROR(VLOOKUP($B252,'Privacy Analyst Evaluation'!$A$46:$F$120,4,0),""))&amp;""</f>
        <v/>
      </c>
      <c r="F252" s="216" t="str">
        <f ca="1">IFERROR(VLOOKUP($B252,'Institution Evaluation'!$A$55:$F$346,6,0),IFERROR(VLOOKUP($B252,'Privacy Analyst Evaluation'!$A$46:$F$120,6,0),""))&amp;""</f>
        <v/>
      </c>
      <c r="G252" s="217"/>
      <c r="H252" s="216" t="str">
        <f>IFERROR(IF($H251+1&gt;'(backend scoring)'!$Q$335,"",$H251+1),"")</f>
        <v/>
      </c>
      <c r="I252" s="216" t="e">
        <f ca="1">_xlfn.XLOOKUP($H252,'(backend scoring)'!$S$2:$S$333,'(backend scoring)'!$A$2:$A$333,"")</f>
        <v>#NAME?</v>
      </c>
      <c r="J252" s="216" t="str">
        <f ca="1">IFERROR(VLOOKUP($I252,'Institution Evaluation'!$A$55:$F$346,2,0),IFERROR(VLOOKUP($I252,'Privacy Analyst Evaluation'!$A$46:$F$120,2,0),""))</f>
        <v/>
      </c>
      <c r="K252" s="216" t="str">
        <f ca="1">IFERROR(VLOOKUP($I252,'Institution Evaluation'!$A$55:$F$346,3,0),IFERROR(VLOOKUP($I252,'Privacy Analyst Evaluation'!$A$46:$F$120,3,0),""))&amp;""</f>
        <v/>
      </c>
      <c r="L252" s="216" t="str">
        <f ca="1">IFERROR(VLOOKUP($I252,'Institution Evaluation'!$A$55:$F$346,4,0),IFERROR(VLOOKUP($I252,'Privacy Analyst Evaluation'!$A$46:$F$120,4,0),""))&amp;""</f>
        <v/>
      </c>
      <c r="M252" s="216" t="str">
        <f ca="1">IFERROR(VLOOKUP($I252,'Institution Evaluation'!$A$55:$F$346,6,0),IFERROR(VLOOKUP($I252,'Privacy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ht="17">
      <c r="A253" s="216" t="str">
        <f>IFERROR(IF($A252+1&gt;'(backend scoring)'!$T$335,"",$A252+1),"")</f>
        <v/>
      </c>
      <c r="B253" s="216" t="e">
        <f ca="1">_xlfn.XLOOKUP($A253,'(backend scoring)'!$V$2:$V$333,'(backend scoring)'!$A$2:$A$333,"")</f>
        <v>#NAME?</v>
      </c>
      <c r="C253" s="216" t="str">
        <f ca="1">IFERROR(VLOOKUP($B253,'Institution Evaluation'!$A$55:$F$346,2,0),IFERROR(VLOOKUP($B253,'Privacy Analyst Evaluation'!$A$46:$F$120,2,0),""))&amp;""</f>
        <v/>
      </c>
      <c r="D253" s="216" t="str">
        <f ca="1">IFERROR(VLOOKUP($B253,'Institution Evaluation'!$A$55:$F$346,3,0),IFERROR(VLOOKUP($B253,'Privacy Analyst Evaluation'!$A$46:$F$120,3,0),""))&amp;""</f>
        <v/>
      </c>
      <c r="E253" s="216" t="str">
        <f ca="1">IFERROR(VLOOKUP($B253,'Institution Evaluation'!$A$55:$F$346,4,0),IFERROR(VLOOKUP($B253,'Privacy Analyst Evaluation'!$A$46:$F$120,4,0),""))&amp;""</f>
        <v/>
      </c>
      <c r="F253" s="216" t="str">
        <f ca="1">IFERROR(VLOOKUP($B253,'Institution Evaluation'!$A$55:$F$346,6,0),IFERROR(VLOOKUP($B253,'Privacy Analyst Evaluation'!$A$46:$F$120,6,0),""))&amp;""</f>
        <v/>
      </c>
      <c r="G253" s="217"/>
      <c r="H253" s="216" t="str">
        <f>IFERROR(IF($H252+1&gt;'(backend scoring)'!$Q$335,"",$H252+1),"")</f>
        <v/>
      </c>
      <c r="I253" s="216" t="e">
        <f ca="1">_xlfn.XLOOKUP($H253,'(backend scoring)'!$S$2:$S$333,'(backend scoring)'!$A$2:$A$333,"")</f>
        <v>#NAME?</v>
      </c>
      <c r="J253" s="216" t="str">
        <f ca="1">IFERROR(VLOOKUP($I253,'Institution Evaluation'!$A$55:$F$346,2,0),IFERROR(VLOOKUP($I253,'Privacy Analyst Evaluation'!$A$46:$F$120,2,0),""))</f>
        <v/>
      </c>
      <c r="K253" s="216" t="str">
        <f ca="1">IFERROR(VLOOKUP($I253,'Institution Evaluation'!$A$55:$F$346,3,0),IFERROR(VLOOKUP($I253,'Privacy Analyst Evaluation'!$A$46:$F$120,3,0),""))&amp;""</f>
        <v/>
      </c>
      <c r="L253" s="216" t="str">
        <f ca="1">IFERROR(VLOOKUP($I253,'Institution Evaluation'!$A$55:$F$346,4,0),IFERROR(VLOOKUP($I253,'Privacy Analyst Evaluation'!$A$46:$F$120,4,0),""))&amp;""</f>
        <v/>
      </c>
      <c r="M253" s="216" t="str">
        <f ca="1">IFERROR(VLOOKUP($I253,'Institution Evaluation'!$A$55:$F$346,6,0),IFERROR(VLOOKUP($I253,'Privacy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ht="17">
      <c r="A254" s="216" t="str">
        <f>IFERROR(IF($A253+1&gt;'(backend scoring)'!$T$335,"",$A253+1),"")</f>
        <v/>
      </c>
      <c r="B254" s="216" t="e">
        <f ca="1">_xlfn.XLOOKUP($A254,'(backend scoring)'!$V$2:$V$333,'(backend scoring)'!$A$2:$A$333,"")</f>
        <v>#NAME?</v>
      </c>
      <c r="C254" s="216" t="str">
        <f ca="1">IFERROR(VLOOKUP($B254,'Institution Evaluation'!$A$55:$F$346,2,0),IFERROR(VLOOKUP($B254,'Privacy Analyst Evaluation'!$A$46:$F$120,2,0),""))&amp;""</f>
        <v/>
      </c>
      <c r="D254" s="216" t="str">
        <f ca="1">IFERROR(VLOOKUP($B254,'Institution Evaluation'!$A$55:$F$346,3,0),IFERROR(VLOOKUP($B254,'Privacy Analyst Evaluation'!$A$46:$F$120,3,0),""))&amp;""</f>
        <v/>
      </c>
      <c r="E254" s="216" t="str">
        <f ca="1">IFERROR(VLOOKUP($B254,'Institution Evaluation'!$A$55:$F$346,4,0),IFERROR(VLOOKUP($B254,'Privacy Analyst Evaluation'!$A$46:$F$120,4,0),""))&amp;""</f>
        <v/>
      </c>
      <c r="F254" s="216" t="str">
        <f ca="1">IFERROR(VLOOKUP($B254,'Institution Evaluation'!$A$55:$F$346,6,0),IFERROR(VLOOKUP($B254,'Privacy Analyst Evaluation'!$A$46:$F$120,6,0),""))&amp;""</f>
        <v/>
      </c>
      <c r="G254" s="217"/>
      <c r="H254" s="216" t="str">
        <f>IFERROR(IF($H253+1&gt;'(backend scoring)'!$Q$335,"",$H253+1),"")</f>
        <v/>
      </c>
      <c r="I254" s="216" t="e">
        <f ca="1">_xlfn.XLOOKUP($H254,'(backend scoring)'!$S$2:$S$333,'(backend scoring)'!$A$2:$A$333,"")</f>
        <v>#NAME?</v>
      </c>
      <c r="J254" s="216" t="str">
        <f ca="1">IFERROR(VLOOKUP($I254,'Institution Evaluation'!$A$55:$F$346,2,0),IFERROR(VLOOKUP($I254,'Privacy Analyst Evaluation'!$A$46:$F$120,2,0),""))</f>
        <v/>
      </c>
      <c r="K254" s="216" t="str">
        <f ca="1">IFERROR(VLOOKUP($I254,'Institution Evaluation'!$A$55:$F$346,3,0),IFERROR(VLOOKUP($I254,'Privacy Analyst Evaluation'!$A$46:$F$120,3,0),""))&amp;""</f>
        <v/>
      </c>
      <c r="L254" s="216" t="str">
        <f ca="1">IFERROR(VLOOKUP($I254,'Institution Evaluation'!$A$55:$F$346,4,0),IFERROR(VLOOKUP($I254,'Privacy Analyst Evaluation'!$A$46:$F$120,4,0),""))&amp;""</f>
        <v/>
      </c>
      <c r="M254" s="216" t="str">
        <f ca="1">IFERROR(VLOOKUP($I254,'Institution Evaluation'!$A$55:$F$346,6,0),IFERROR(VLOOKUP($I254,'Privacy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ht="17">
      <c r="A255" s="216" t="str">
        <f>IFERROR(IF($A254+1&gt;'(backend scoring)'!$T$335,"",$A254+1),"")</f>
        <v/>
      </c>
      <c r="B255" s="216" t="e">
        <f ca="1">_xlfn.XLOOKUP($A255,'(backend scoring)'!$V$2:$V$333,'(backend scoring)'!$A$2:$A$333,"")</f>
        <v>#NAME?</v>
      </c>
      <c r="C255" s="216" t="str">
        <f ca="1">IFERROR(VLOOKUP($B255,'Institution Evaluation'!$A$55:$F$346,2,0),IFERROR(VLOOKUP($B255,'Privacy Analyst Evaluation'!$A$46:$F$120,2,0),""))&amp;""</f>
        <v/>
      </c>
      <c r="D255" s="216" t="str">
        <f ca="1">IFERROR(VLOOKUP($B255,'Institution Evaluation'!$A$55:$F$346,3,0),IFERROR(VLOOKUP($B255,'Privacy Analyst Evaluation'!$A$46:$F$120,3,0),""))&amp;""</f>
        <v/>
      </c>
      <c r="E255" s="216" t="str">
        <f ca="1">IFERROR(VLOOKUP($B255,'Institution Evaluation'!$A$55:$F$346,4,0),IFERROR(VLOOKUP($B255,'Privacy Analyst Evaluation'!$A$46:$F$120,4,0),""))&amp;""</f>
        <v/>
      </c>
      <c r="F255" s="216" t="str">
        <f ca="1">IFERROR(VLOOKUP($B255,'Institution Evaluation'!$A$55:$F$346,6,0),IFERROR(VLOOKUP($B255,'Privacy Analyst Evaluation'!$A$46:$F$120,6,0),""))&amp;""</f>
        <v/>
      </c>
      <c r="G255" s="217"/>
      <c r="H255" s="216" t="str">
        <f>IFERROR(IF($H254+1&gt;'(backend scoring)'!$Q$335,"",$H254+1),"")</f>
        <v/>
      </c>
      <c r="I255" s="216" t="e">
        <f ca="1">_xlfn.XLOOKUP($H255,'(backend scoring)'!$S$2:$S$333,'(backend scoring)'!$A$2:$A$333,"")</f>
        <v>#NAME?</v>
      </c>
      <c r="J255" s="216" t="str">
        <f ca="1">IFERROR(VLOOKUP($I255,'Institution Evaluation'!$A$55:$F$346,2,0),IFERROR(VLOOKUP($I255,'Privacy Analyst Evaluation'!$A$46:$F$120,2,0),""))</f>
        <v/>
      </c>
      <c r="K255" s="216" t="str">
        <f ca="1">IFERROR(VLOOKUP($I255,'Institution Evaluation'!$A$55:$F$346,3,0),IFERROR(VLOOKUP($I255,'Privacy Analyst Evaluation'!$A$46:$F$120,3,0),""))&amp;""</f>
        <v/>
      </c>
      <c r="L255" s="216" t="str">
        <f ca="1">IFERROR(VLOOKUP($I255,'Institution Evaluation'!$A$55:$F$346,4,0),IFERROR(VLOOKUP($I255,'Privacy Analyst Evaluation'!$A$46:$F$120,4,0),""))&amp;""</f>
        <v/>
      </c>
      <c r="M255" s="216" t="str">
        <f ca="1">IFERROR(VLOOKUP($I255,'Institution Evaluation'!$A$55:$F$346,6,0),IFERROR(VLOOKUP($I255,'Privacy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ht="17">
      <c r="A256" s="216" t="str">
        <f>IFERROR(IF($A255+1&gt;'(backend scoring)'!$T$335,"",$A255+1),"")</f>
        <v/>
      </c>
      <c r="B256" s="216" t="e">
        <f ca="1">_xlfn.XLOOKUP($A256,'(backend scoring)'!$V$2:$V$333,'(backend scoring)'!$A$2:$A$333,"")</f>
        <v>#NAME?</v>
      </c>
      <c r="C256" s="216" t="str">
        <f ca="1">IFERROR(VLOOKUP($B256,'Institution Evaluation'!$A$55:$F$346,2,0),IFERROR(VLOOKUP($B256,'Privacy Analyst Evaluation'!$A$46:$F$120,2,0),""))&amp;""</f>
        <v/>
      </c>
      <c r="D256" s="216" t="str">
        <f ca="1">IFERROR(VLOOKUP($B256,'Institution Evaluation'!$A$55:$F$346,3,0),IFERROR(VLOOKUP($B256,'Privacy Analyst Evaluation'!$A$46:$F$120,3,0),""))&amp;""</f>
        <v/>
      </c>
      <c r="E256" s="216" t="str">
        <f ca="1">IFERROR(VLOOKUP($B256,'Institution Evaluation'!$A$55:$F$346,4,0),IFERROR(VLOOKUP($B256,'Privacy Analyst Evaluation'!$A$46:$F$120,4,0),""))&amp;""</f>
        <v/>
      </c>
      <c r="F256" s="216" t="str">
        <f ca="1">IFERROR(VLOOKUP($B256,'Institution Evaluation'!$A$55:$F$346,6,0),IFERROR(VLOOKUP($B256,'Privacy Analyst Evaluation'!$A$46:$F$120,6,0),""))&amp;""</f>
        <v/>
      </c>
      <c r="G256" s="217"/>
      <c r="H256" s="216" t="str">
        <f>IFERROR(IF($H255+1&gt;'(backend scoring)'!$Q$335,"",$H255+1),"")</f>
        <v/>
      </c>
      <c r="I256" s="216" t="e">
        <f ca="1">_xlfn.XLOOKUP($H256,'(backend scoring)'!$S$2:$S$333,'(backend scoring)'!$A$2:$A$333,"")</f>
        <v>#NAME?</v>
      </c>
      <c r="J256" s="216" t="str">
        <f ca="1">IFERROR(VLOOKUP($I256,'Institution Evaluation'!$A$55:$F$346,2,0),IFERROR(VLOOKUP($I256,'Privacy Analyst Evaluation'!$A$46:$F$120,2,0),""))</f>
        <v/>
      </c>
      <c r="K256" s="216" t="str">
        <f ca="1">IFERROR(VLOOKUP($I256,'Institution Evaluation'!$A$55:$F$346,3,0),IFERROR(VLOOKUP($I256,'Privacy Analyst Evaluation'!$A$46:$F$120,3,0),""))&amp;""</f>
        <v/>
      </c>
      <c r="L256" s="216" t="str">
        <f ca="1">IFERROR(VLOOKUP($I256,'Institution Evaluation'!$A$55:$F$346,4,0),IFERROR(VLOOKUP($I256,'Privacy Analyst Evaluation'!$A$46:$F$120,4,0),""))&amp;""</f>
        <v/>
      </c>
      <c r="M256" s="216" t="str">
        <f ca="1">IFERROR(VLOOKUP($I256,'Institution Evaluation'!$A$55:$F$346,6,0),IFERROR(VLOOKUP($I256,'Privacy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ht="17">
      <c r="A257" s="216" t="str">
        <f>IFERROR(IF($A256+1&gt;'(backend scoring)'!$T$335,"",$A256+1),"")</f>
        <v/>
      </c>
      <c r="B257" s="216" t="e">
        <f ca="1">_xlfn.XLOOKUP($A257,'(backend scoring)'!$V$2:$V$333,'(backend scoring)'!$A$2:$A$333,"")</f>
        <v>#NAME?</v>
      </c>
      <c r="C257" s="216" t="str">
        <f ca="1">IFERROR(VLOOKUP($B257,'Institution Evaluation'!$A$55:$F$346,2,0),IFERROR(VLOOKUP($B257,'Privacy Analyst Evaluation'!$A$46:$F$120,2,0),""))&amp;""</f>
        <v/>
      </c>
      <c r="D257" s="216" t="str">
        <f ca="1">IFERROR(VLOOKUP($B257,'Institution Evaluation'!$A$55:$F$346,3,0),IFERROR(VLOOKUP($B257,'Privacy Analyst Evaluation'!$A$46:$F$120,3,0),""))&amp;""</f>
        <v/>
      </c>
      <c r="E257" s="216" t="str">
        <f ca="1">IFERROR(VLOOKUP($B257,'Institution Evaluation'!$A$55:$F$346,4,0),IFERROR(VLOOKUP($B257,'Privacy Analyst Evaluation'!$A$46:$F$120,4,0),""))&amp;""</f>
        <v/>
      </c>
      <c r="F257" s="216" t="str">
        <f ca="1">IFERROR(VLOOKUP($B257,'Institution Evaluation'!$A$55:$F$346,6,0),IFERROR(VLOOKUP($B257,'Privacy Analyst Evaluation'!$A$46:$F$120,6,0),""))&amp;""</f>
        <v/>
      </c>
      <c r="G257" s="217"/>
      <c r="H257" s="216" t="str">
        <f>IFERROR(IF($H256+1&gt;'(backend scoring)'!$Q$335,"",$H256+1),"")</f>
        <v/>
      </c>
      <c r="I257" s="216" t="e">
        <f ca="1">_xlfn.XLOOKUP($H257,'(backend scoring)'!$S$2:$S$333,'(backend scoring)'!$A$2:$A$333,"")</f>
        <v>#NAME?</v>
      </c>
      <c r="J257" s="216" t="str">
        <f ca="1">IFERROR(VLOOKUP($I257,'Institution Evaluation'!$A$55:$F$346,2,0),IFERROR(VLOOKUP($I257,'Privacy Analyst Evaluation'!$A$46:$F$120,2,0),""))</f>
        <v/>
      </c>
      <c r="K257" s="216" t="str">
        <f ca="1">IFERROR(VLOOKUP($I257,'Institution Evaluation'!$A$55:$F$346,3,0),IFERROR(VLOOKUP($I257,'Privacy Analyst Evaluation'!$A$46:$F$120,3,0),""))&amp;""</f>
        <v/>
      </c>
      <c r="L257" s="216" t="str">
        <f ca="1">IFERROR(VLOOKUP($I257,'Institution Evaluation'!$A$55:$F$346,4,0),IFERROR(VLOOKUP($I257,'Privacy Analyst Evaluation'!$A$46:$F$120,4,0),""))&amp;""</f>
        <v/>
      </c>
      <c r="M257" s="216" t="str">
        <f ca="1">IFERROR(VLOOKUP($I257,'Institution Evaluation'!$A$55:$F$346,6,0),IFERROR(VLOOKUP($I257,'Privacy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ht="17">
      <c r="A258" s="216" t="str">
        <f>IFERROR(IF($A257+1&gt;'(backend scoring)'!$T$335,"",$A257+1),"")</f>
        <v/>
      </c>
      <c r="B258" s="216" t="e">
        <f ca="1">_xlfn.XLOOKUP($A258,'(backend scoring)'!$V$2:$V$333,'(backend scoring)'!$A$2:$A$333,"")</f>
        <v>#NAME?</v>
      </c>
      <c r="C258" s="216" t="str">
        <f ca="1">IFERROR(VLOOKUP($B258,'Institution Evaluation'!$A$55:$F$346,2,0),IFERROR(VLOOKUP($B258,'Privacy Analyst Evaluation'!$A$46:$F$120,2,0),""))&amp;""</f>
        <v/>
      </c>
      <c r="D258" s="216" t="str">
        <f ca="1">IFERROR(VLOOKUP($B258,'Institution Evaluation'!$A$55:$F$346,3,0),IFERROR(VLOOKUP($B258,'Privacy Analyst Evaluation'!$A$46:$F$120,3,0),""))&amp;""</f>
        <v/>
      </c>
      <c r="E258" s="216" t="str">
        <f ca="1">IFERROR(VLOOKUP($B258,'Institution Evaluation'!$A$55:$F$346,4,0),IFERROR(VLOOKUP($B258,'Privacy Analyst Evaluation'!$A$46:$F$120,4,0),""))&amp;""</f>
        <v/>
      </c>
      <c r="F258" s="216" t="str">
        <f ca="1">IFERROR(VLOOKUP($B258,'Institution Evaluation'!$A$55:$F$346,6,0),IFERROR(VLOOKUP($B258,'Privacy Analyst Evaluation'!$A$46:$F$120,6,0),""))&amp;""</f>
        <v/>
      </c>
      <c r="G258" s="217"/>
      <c r="H258" s="216" t="str">
        <f>IFERROR(IF($H257+1&gt;'(backend scoring)'!$Q$335,"",$H257+1),"")</f>
        <v/>
      </c>
      <c r="I258" s="216" t="e">
        <f ca="1">_xlfn.XLOOKUP($H258,'(backend scoring)'!$S$2:$S$333,'(backend scoring)'!$A$2:$A$333,"")</f>
        <v>#NAME?</v>
      </c>
      <c r="J258" s="216" t="str">
        <f ca="1">IFERROR(VLOOKUP($I258,'Institution Evaluation'!$A$55:$F$346,2,0),IFERROR(VLOOKUP($I258,'Privacy Analyst Evaluation'!$A$46:$F$120,2,0),""))</f>
        <v/>
      </c>
      <c r="K258" s="216" t="str">
        <f ca="1">IFERROR(VLOOKUP($I258,'Institution Evaluation'!$A$55:$F$346,3,0),IFERROR(VLOOKUP($I258,'Privacy Analyst Evaluation'!$A$46:$F$120,3,0),""))&amp;""</f>
        <v/>
      </c>
      <c r="L258" s="216" t="str">
        <f ca="1">IFERROR(VLOOKUP($I258,'Institution Evaluation'!$A$55:$F$346,4,0),IFERROR(VLOOKUP($I258,'Privacy Analyst Evaluation'!$A$46:$F$120,4,0),""))&amp;""</f>
        <v/>
      </c>
      <c r="M258" s="216" t="str">
        <f ca="1">IFERROR(VLOOKUP($I258,'Institution Evaluation'!$A$55:$F$346,6,0),IFERROR(VLOOKUP($I258,'Privacy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ht="17">
      <c r="A259" s="216" t="str">
        <f>IFERROR(IF($A258+1&gt;'(backend scoring)'!$T$335,"",$A258+1),"")</f>
        <v/>
      </c>
      <c r="B259" s="216" t="e">
        <f ca="1">_xlfn.XLOOKUP($A259,'(backend scoring)'!$V$2:$V$333,'(backend scoring)'!$A$2:$A$333,"")</f>
        <v>#NAME?</v>
      </c>
      <c r="C259" s="216" t="str">
        <f ca="1">IFERROR(VLOOKUP($B259,'Institution Evaluation'!$A$55:$F$346,2,0),IFERROR(VLOOKUP($B259,'Privacy Analyst Evaluation'!$A$46:$F$120,2,0),""))&amp;""</f>
        <v/>
      </c>
      <c r="D259" s="216" t="str">
        <f ca="1">IFERROR(VLOOKUP($B259,'Institution Evaluation'!$A$55:$F$346,3,0),IFERROR(VLOOKUP($B259,'Privacy Analyst Evaluation'!$A$46:$F$120,3,0),""))&amp;""</f>
        <v/>
      </c>
      <c r="E259" s="216" t="str">
        <f ca="1">IFERROR(VLOOKUP($B259,'Institution Evaluation'!$A$55:$F$346,4,0),IFERROR(VLOOKUP($B259,'Privacy Analyst Evaluation'!$A$46:$F$120,4,0),""))&amp;""</f>
        <v/>
      </c>
      <c r="F259" s="216" t="str">
        <f ca="1">IFERROR(VLOOKUP($B259,'Institution Evaluation'!$A$55:$F$346,6,0),IFERROR(VLOOKUP($B259,'Privacy Analyst Evaluation'!$A$46:$F$120,6,0),""))&amp;""</f>
        <v/>
      </c>
      <c r="G259" s="217"/>
      <c r="H259" s="216" t="str">
        <f>IFERROR(IF($H258+1&gt;'(backend scoring)'!$Q$335,"",$H258+1),"")</f>
        <v/>
      </c>
      <c r="I259" s="216" t="e">
        <f ca="1">_xlfn.XLOOKUP($H259,'(backend scoring)'!$S$2:$S$333,'(backend scoring)'!$A$2:$A$333,"")</f>
        <v>#NAME?</v>
      </c>
      <c r="J259" s="216" t="str">
        <f ca="1">IFERROR(VLOOKUP($I259,'Institution Evaluation'!$A$55:$F$346,2,0),IFERROR(VLOOKUP($I259,'Privacy Analyst Evaluation'!$A$46:$F$120,2,0),""))</f>
        <v/>
      </c>
      <c r="K259" s="216" t="str">
        <f ca="1">IFERROR(VLOOKUP($I259,'Institution Evaluation'!$A$55:$F$346,3,0),IFERROR(VLOOKUP($I259,'Privacy Analyst Evaluation'!$A$46:$F$120,3,0),""))&amp;""</f>
        <v/>
      </c>
      <c r="L259" s="216" t="str">
        <f ca="1">IFERROR(VLOOKUP($I259,'Institution Evaluation'!$A$55:$F$346,4,0),IFERROR(VLOOKUP($I259,'Privacy Analyst Evaluation'!$A$46:$F$120,4,0),""))&amp;""</f>
        <v/>
      </c>
      <c r="M259" s="216" t="str">
        <f ca="1">IFERROR(VLOOKUP($I259,'Institution Evaluation'!$A$55:$F$346,6,0),IFERROR(VLOOKUP($I259,'Privacy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ht="17">
      <c r="A260" s="216" t="str">
        <f>IFERROR(IF($A259+1&gt;'(backend scoring)'!$T$335,"",$A259+1),"")</f>
        <v/>
      </c>
      <c r="B260" s="216" t="e">
        <f ca="1">_xlfn.XLOOKUP($A260,'(backend scoring)'!$V$2:$V$333,'(backend scoring)'!$A$2:$A$333,"")</f>
        <v>#NAME?</v>
      </c>
      <c r="C260" s="216" t="str">
        <f ca="1">IFERROR(VLOOKUP($B260,'Institution Evaluation'!$A$55:$F$346,2,0),IFERROR(VLOOKUP($B260,'Privacy Analyst Evaluation'!$A$46:$F$120,2,0),""))&amp;""</f>
        <v/>
      </c>
      <c r="D260" s="216" t="str">
        <f ca="1">IFERROR(VLOOKUP($B260,'Institution Evaluation'!$A$55:$F$346,3,0),IFERROR(VLOOKUP($B260,'Privacy Analyst Evaluation'!$A$46:$F$120,3,0),""))&amp;""</f>
        <v/>
      </c>
      <c r="E260" s="216" t="str">
        <f ca="1">IFERROR(VLOOKUP($B260,'Institution Evaluation'!$A$55:$F$346,4,0),IFERROR(VLOOKUP($B260,'Privacy Analyst Evaluation'!$A$46:$F$120,4,0),""))&amp;""</f>
        <v/>
      </c>
      <c r="F260" s="216" t="str">
        <f ca="1">IFERROR(VLOOKUP($B260,'Institution Evaluation'!$A$55:$F$346,6,0),IFERROR(VLOOKUP($B260,'Privacy Analyst Evaluation'!$A$46:$F$120,6,0),""))&amp;""</f>
        <v/>
      </c>
      <c r="G260" s="217"/>
      <c r="H260" s="216" t="str">
        <f>IFERROR(IF($H259+1&gt;'(backend scoring)'!$Q$335,"",$H259+1),"")</f>
        <v/>
      </c>
      <c r="I260" s="216" t="e">
        <f ca="1">_xlfn.XLOOKUP($H260,'(backend scoring)'!$S$2:$S$333,'(backend scoring)'!$A$2:$A$333,"")</f>
        <v>#NAME?</v>
      </c>
      <c r="J260" s="216" t="str">
        <f ca="1">IFERROR(VLOOKUP($I260,'Institution Evaluation'!$A$55:$F$346,2,0),IFERROR(VLOOKUP($I260,'Privacy Analyst Evaluation'!$A$46:$F$120,2,0),""))</f>
        <v/>
      </c>
      <c r="K260" s="216" t="str">
        <f ca="1">IFERROR(VLOOKUP($I260,'Institution Evaluation'!$A$55:$F$346,3,0),IFERROR(VLOOKUP($I260,'Privacy Analyst Evaluation'!$A$46:$F$120,3,0),""))&amp;""</f>
        <v/>
      </c>
      <c r="L260" s="216" t="str">
        <f ca="1">IFERROR(VLOOKUP($I260,'Institution Evaluation'!$A$55:$F$346,4,0),IFERROR(VLOOKUP($I260,'Privacy Analyst Evaluation'!$A$46:$F$120,4,0),""))&amp;""</f>
        <v/>
      </c>
      <c r="M260" s="216" t="str">
        <f ca="1">IFERROR(VLOOKUP($I260,'Institution Evaluation'!$A$55:$F$346,6,0),IFERROR(VLOOKUP($I260,'Privacy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ht="17">
      <c r="A261" s="216" t="str">
        <f>IFERROR(IF($A260+1&gt;'(backend scoring)'!$T$335,"",$A260+1),"")</f>
        <v/>
      </c>
      <c r="B261" s="216" t="e">
        <f ca="1">_xlfn.XLOOKUP($A261,'(backend scoring)'!$V$2:$V$333,'(backend scoring)'!$A$2:$A$333,"")</f>
        <v>#NAME?</v>
      </c>
      <c r="C261" s="216" t="str">
        <f ca="1">IFERROR(VLOOKUP($B261,'Institution Evaluation'!$A$55:$F$346,2,0),IFERROR(VLOOKUP($B261,'Privacy Analyst Evaluation'!$A$46:$F$120,2,0),""))&amp;""</f>
        <v/>
      </c>
      <c r="D261" s="216" t="str">
        <f ca="1">IFERROR(VLOOKUP($B261,'Institution Evaluation'!$A$55:$F$346,3,0),IFERROR(VLOOKUP($B261,'Privacy Analyst Evaluation'!$A$46:$F$120,3,0),""))&amp;""</f>
        <v/>
      </c>
      <c r="E261" s="216" t="str">
        <f ca="1">IFERROR(VLOOKUP($B261,'Institution Evaluation'!$A$55:$F$346,4,0),IFERROR(VLOOKUP($B261,'Privacy Analyst Evaluation'!$A$46:$F$120,4,0),""))&amp;""</f>
        <v/>
      </c>
      <c r="F261" s="216" t="str">
        <f ca="1">IFERROR(VLOOKUP($B261,'Institution Evaluation'!$A$55:$F$346,6,0),IFERROR(VLOOKUP($B261,'Privacy Analyst Evaluation'!$A$46:$F$120,6,0),""))&amp;""</f>
        <v/>
      </c>
      <c r="G261" s="217"/>
      <c r="H261" s="216" t="str">
        <f>IFERROR(IF($H260+1&gt;'(backend scoring)'!$Q$335,"",$H260+1),"")</f>
        <v/>
      </c>
      <c r="I261" s="216" t="e">
        <f ca="1">_xlfn.XLOOKUP($H261,'(backend scoring)'!$S$2:$S$333,'(backend scoring)'!$A$2:$A$333,"")</f>
        <v>#NAME?</v>
      </c>
      <c r="J261" s="216" t="str">
        <f ca="1">IFERROR(VLOOKUP($I261,'Institution Evaluation'!$A$55:$F$346,2,0),IFERROR(VLOOKUP($I261,'Privacy Analyst Evaluation'!$A$46:$F$120,2,0),""))</f>
        <v/>
      </c>
      <c r="K261" s="216" t="str">
        <f ca="1">IFERROR(VLOOKUP($I261,'Institution Evaluation'!$A$55:$F$346,3,0),IFERROR(VLOOKUP($I261,'Privacy Analyst Evaluation'!$A$46:$F$120,3,0),""))&amp;""</f>
        <v/>
      </c>
      <c r="L261" s="216" t="str">
        <f ca="1">IFERROR(VLOOKUP($I261,'Institution Evaluation'!$A$55:$F$346,4,0),IFERROR(VLOOKUP($I261,'Privacy Analyst Evaluation'!$A$46:$F$120,4,0),""))&amp;""</f>
        <v/>
      </c>
      <c r="M261" s="216" t="str">
        <f ca="1">IFERROR(VLOOKUP($I261,'Institution Evaluation'!$A$55:$F$346,6,0),IFERROR(VLOOKUP($I261,'Privacy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ht="17">
      <c r="A262" s="216" t="str">
        <f>IFERROR(IF($A261+1&gt;'(backend scoring)'!$T$335,"",$A261+1),"")</f>
        <v/>
      </c>
      <c r="B262" s="216" t="e">
        <f ca="1">_xlfn.XLOOKUP($A262,'(backend scoring)'!$V$2:$V$333,'(backend scoring)'!$A$2:$A$333,"")</f>
        <v>#NAME?</v>
      </c>
      <c r="C262" s="216" t="str">
        <f ca="1">IFERROR(VLOOKUP($B262,'Institution Evaluation'!$A$55:$F$346,2,0),IFERROR(VLOOKUP($B262,'Privacy Analyst Evaluation'!$A$46:$F$120,2,0),""))&amp;""</f>
        <v/>
      </c>
      <c r="D262" s="216" t="str">
        <f ca="1">IFERROR(VLOOKUP($B262,'Institution Evaluation'!$A$55:$F$346,3,0),IFERROR(VLOOKUP($B262,'Privacy Analyst Evaluation'!$A$46:$F$120,3,0),""))&amp;""</f>
        <v/>
      </c>
      <c r="E262" s="216" t="str">
        <f ca="1">IFERROR(VLOOKUP($B262,'Institution Evaluation'!$A$55:$F$346,4,0),IFERROR(VLOOKUP($B262,'Privacy Analyst Evaluation'!$A$46:$F$120,4,0),""))&amp;""</f>
        <v/>
      </c>
      <c r="F262" s="216" t="str">
        <f ca="1">IFERROR(VLOOKUP($B262,'Institution Evaluation'!$A$55:$F$346,6,0),IFERROR(VLOOKUP($B262,'Privacy Analyst Evaluation'!$A$46:$F$120,6,0),""))&amp;""</f>
        <v/>
      </c>
      <c r="G262" s="217"/>
      <c r="H262" s="216" t="str">
        <f>IFERROR(IF($H261+1&gt;'(backend scoring)'!$Q$335,"",$H261+1),"")</f>
        <v/>
      </c>
      <c r="I262" s="216" t="e">
        <f ca="1">_xlfn.XLOOKUP($H262,'(backend scoring)'!$S$2:$S$333,'(backend scoring)'!$A$2:$A$333,"")</f>
        <v>#NAME?</v>
      </c>
      <c r="J262" s="216" t="str">
        <f ca="1">IFERROR(VLOOKUP($I262,'Institution Evaluation'!$A$55:$F$346,2,0),IFERROR(VLOOKUP($I262,'Privacy Analyst Evaluation'!$A$46:$F$120,2,0),""))</f>
        <v/>
      </c>
      <c r="K262" s="216" t="str">
        <f ca="1">IFERROR(VLOOKUP($I262,'Institution Evaluation'!$A$55:$F$346,3,0),IFERROR(VLOOKUP($I262,'Privacy Analyst Evaluation'!$A$46:$F$120,3,0),""))&amp;""</f>
        <v/>
      </c>
      <c r="L262" s="216" t="str">
        <f ca="1">IFERROR(VLOOKUP($I262,'Institution Evaluation'!$A$55:$F$346,4,0),IFERROR(VLOOKUP($I262,'Privacy Analyst Evaluation'!$A$46:$F$120,4,0),""))&amp;""</f>
        <v/>
      </c>
      <c r="M262" s="216" t="str">
        <f ca="1">IFERROR(VLOOKUP($I262,'Institution Evaluation'!$A$55:$F$346,6,0),IFERROR(VLOOKUP($I262,'Privacy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ht="17">
      <c r="A263" s="216" t="str">
        <f>IFERROR(IF($A262+1&gt;'(backend scoring)'!$T$335,"",$A262+1),"")</f>
        <v/>
      </c>
      <c r="B263" s="216" t="e">
        <f ca="1">_xlfn.XLOOKUP($A263,'(backend scoring)'!$V$2:$V$333,'(backend scoring)'!$A$2:$A$333,"")</f>
        <v>#NAME?</v>
      </c>
      <c r="C263" s="216" t="str">
        <f ca="1">IFERROR(VLOOKUP($B263,'Institution Evaluation'!$A$55:$F$346,2,0),IFERROR(VLOOKUP($B263,'Privacy Analyst Evaluation'!$A$46:$F$120,2,0),""))&amp;""</f>
        <v/>
      </c>
      <c r="D263" s="216" t="str">
        <f ca="1">IFERROR(VLOOKUP($B263,'Institution Evaluation'!$A$55:$F$346,3,0),IFERROR(VLOOKUP($B263,'Privacy Analyst Evaluation'!$A$46:$F$120,3,0),""))&amp;""</f>
        <v/>
      </c>
      <c r="E263" s="216" t="str">
        <f ca="1">IFERROR(VLOOKUP($B263,'Institution Evaluation'!$A$55:$F$346,4,0),IFERROR(VLOOKUP($B263,'Privacy Analyst Evaluation'!$A$46:$F$120,4,0),""))&amp;""</f>
        <v/>
      </c>
      <c r="F263" s="216" t="str">
        <f ca="1">IFERROR(VLOOKUP($B263,'Institution Evaluation'!$A$55:$F$346,6,0),IFERROR(VLOOKUP($B263,'Privacy Analyst Evaluation'!$A$46:$F$120,6,0),""))&amp;""</f>
        <v/>
      </c>
      <c r="G263" s="217"/>
      <c r="H263" s="216" t="str">
        <f>IFERROR(IF($H262+1&gt;'(backend scoring)'!$Q$335,"",$H262+1),"")</f>
        <v/>
      </c>
      <c r="I263" s="216" t="e">
        <f ca="1">_xlfn.XLOOKUP($H263,'(backend scoring)'!$S$2:$S$333,'(backend scoring)'!$A$2:$A$333,"")</f>
        <v>#NAME?</v>
      </c>
      <c r="J263" s="216" t="str">
        <f ca="1">IFERROR(VLOOKUP($I263,'Institution Evaluation'!$A$55:$F$346,2,0),IFERROR(VLOOKUP($I263,'Privacy Analyst Evaluation'!$A$46:$F$120,2,0),""))</f>
        <v/>
      </c>
      <c r="K263" s="216" t="str">
        <f ca="1">IFERROR(VLOOKUP($I263,'Institution Evaluation'!$A$55:$F$346,3,0),IFERROR(VLOOKUP($I263,'Privacy Analyst Evaluation'!$A$46:$F$120,3,0),""))&amp;""</f>
        <v/>
      </c>
      <c r="L263" s="216" t="str">
        <f ca="1">IFERROR(VLOOKUP($I263,'Institution Evaluation'!$A$55:$F$346,4,0),IFERROR(VLOOKUP($I263,'Privacy Analyst Evaluation'!$A$46:$F$120,4,0),""))&amp;""</f>
        <v/>
      </c>
      <c r="M263" s="216" t="str">
        <f ca="1">IFERROR(VLOOKUP($I263,'Institution Evaluation'!$A$55:$F$346,6,0),IFERROR(VLOOKUP($I263,'Privacy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ht="17">
      <c r="A264" s="216" t="str">
        <f>IFERROR(IF($A263+1&gt;'(backend scoring)'!$T$335,"",$A263+1),"")</f>
        <v/>
      </c>
      <c r="B264" s="216" t="e">
        <f ca="1">_xlfn.XLOOKUP($A264,'(backend scoring)'!$V$2:$V$333,'(backend scoring)'!$A$2:$A$333,"")</f>
        <v>#NAME?</v>
      </c>
      <c r="C264" s="216" t="str">
        <f ca="1">IFERROR(VLOOKUP($B264,'Institution Evaluation'!$A$55:$F$346,2,0),IFERROR(VLOOKUP($B264,'Privacy Analyst Evaluation'!$A$46:$F$120,2,0),""))&amp;""</f>
        <v/>
      </c>
      <c r="D264" s="216" t="str">
        <f ca="1">IFERROR(VLOOKUP($B264,'Institution Evaluation'!$A$55:$F$346,3,0),IFERROR(VLOOKUP($B264,'Privacy Analyst Evaluation'!$A$46:$F$120,3,0),""))&amp;""</f>
        <v/>
      </c>
      <c r="E264" s="216" t="str">
        <f ca="1">IFERROR(VLOOKUP($B264,'Institution Evaluation'!$A$55:$F$346,4,0),IFERROR(VLOOKUP($B264,'Privacy Analyst Evaluation'!$A$46:$F$120,4,0),""))&amp;""</f>
        <v/>
      </c>
      <c r="F264" s="216" t="str">
        <f ca="1">IFERROR(VLOOKUP($B264,'Institution Evaluation'!$A$55:$F$346,6,0),IFERROR(VLOOKUP($B264,'Privacy Analyst Evaluation'!$A$46:$F$120,6,0),""))&amp;""</f>
        <v/>
      </c>
      <c r="G264" s="217"/>
      <c r="H264" s="216" t="str">
        <f>IFERROR(IF($H263+1&gt;'(backend scoring)'!$Q$335,"",$H263+1),"")</f>
        <v/>
      </c>
      <c r="I264" s="216" t="e">
        <f ca="1">_xlfn.XLOOKUP($H264,'(backend scoring)'!$S$2:$S$333,'(backend scoring)'!$A$2:$A$333,"")</f>
        <v>#NAME?</v>
      </c>
      <c r="J264" s="216" t="str">
        <f ca="1">IFERROR(VLOOKUP($I264,'Institution Evaluation'!$A$55:$F$346,2,0),IFERROR(VLOOKUP($I264,'Privacy Analyst Evaluation'!$A$46:$F$120,2,0),""))</f>
        <v/>
      </c>
      <c r="K264" s="216" t="str">
        <f ca="1">IFERROR(VLOOKUP($I264,'Institution Evaluation'!$A$55:$F$346,3,0),IFERROR(VLOOKUP($I264,'Privacy Analyst Evaluation'!$A$46:$F$120,3,0),""))&amp;""</f>
        <v/>
      </c>
      <c r="L264" s="216" t="str">
        <f ca="1">IFERROR(VLOOKUP($I264,'Institution Evaluation'!$A$55:$F$346,4,0),IFERROR(VLOOKUP($I264,'Privacy Analyst Evaluation'!$A$46:$F$120,4,0),""))&amp;""</f>
        <v/>
      </c>
      <c r="M264" s="216" t="str">
        <f ca="1">IFERROR(VLOOKUP($I264,'Institution Evaluation'!$A$55:$F$346,6,0),IFERROR(VLOOKUP($I264,'Privacy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ht="17">
      <c r="A265" s="216" t="str">
        <f>IFERROR(IF($A264+1&gt;'(backend scoring)'!$T$335,"",$A264+1),"")</f>
        <v/>
      </c>
      <c r="B265" s="216" t="e">
        <f ca="1">_xlfn.XLOOKUP($A265,'(backend scoring)'!$V$2:$V$333,'(backend scoring)'!$A$2:$A$333,"")</f>
        <v>#NAME?</v>
      </c>
      <c r="C265" s="216" t="str">
        <f ca="1">IFERROR(VLOOKUP($B265,'Institution Evaluation'!$A$55:$F$346,2,0),IFERROR(VLOOKUP($B265,'Privacy Analyst Evaluation'!$A$46:$F$120,2,0),""))&amp;""</f>
        <v/>
      </c>
      <c r="D265" s="216" t="str">
        <f ca="1">IFERROR(VLOOKUP($B265,'Institution Evaluation'!$A$55:$F$346,3,0),IFERROR(VLOOKUP($B265,'Privacy Analyst Evaluation'!$A$46:$F$120,3,0),""))&amp;""</f>
        <v/>
      </c>
      <c r="E265" s="216" t="str">
        <f ca="1">IFERROR(VLOOKUP($B265,'Institution Evaluation'!$A$55:$F$346,4,0),IFERROR(VLOOKUP($B265,'Privacy Analyst Evaluation'!$A$46:$F$120,4,0),""))&amp;""</f>
        <v/>
      </c>
      <c r="F265" s="216" t="str">
        <f ca="1">IFERROR(VLOOKUP($B265,'Institution Evaluation'!$A$55:$F$346,6,0),IFERROR(VLOOKUP($B265,'Privacy Analyst Evaluation'!$A$46:$F$120,6,0),""))&amp;""</f>
        <v/>
      </c>
      <c r="G265" s="217"/>
      <c r="H265" s="216" t="str">
        <f>IFERROR(IF($H264+1&gt;'(backend scoring)'!$Q$335,"",$H264+1),"")</f>
        <v/>
      </c>
      <c r="I265" s="216" t="e">
        <f ca="1">_xlfn.XLOOKUP($H265,'(backend scoring)'!$S$2:$S$333,'(backend scoring)'!$A$2:$A$333,"")</f>
        <v>#NAME?</v>
      </c>
      <c r="J265" s="216" t="str">
        <f ca="1">IFERROR(VLOOKUP($I265,'Institution Evaluation'!$A$55:$F$346,2,0),IFERROR(VLOOKUP($I265,'Privacy Analyst Evaluation'!$A$46:$F$120,2,0),""))</f>
        <v/>
      </c>
      <c r="K265" s="216" t="str">
        <f ca="1">IFERROR(VLOOKUP($I265,'Institution Evaluation'!$A$55:$F$346,3,0),IFERROR(VLOOKUP($I265,'Privacy Analyst Evaluation'!$A$46:$F$120,3,0),""))&amp;""</f>
        <v/>
      </c>
      <c r="L265" s="216" t="str">
        <f ca="1">IFERROR(VLOOKUP($I265,'Institution Evaluation'!$A$55:$F$346,4,0),IFERROR(VLOOKUP($I265,'Privacy Analyst Evaluation'!$A$46:$F$120,4,0),""))&amp;""</f>
        <v/>
      </c>
      <c r="M265" s="216" t="str">
        <f ca="1">IFERROR(VLOOKUP($I265,'Institution Evaluation'!$A$55:$F$346,6,0),IFERROR(VLOOKUP($I265,'Privacy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ht="17">
      <c r="A266" s="216" t="str">
        <f>IFERROR(IF($A265+1&gt;'(backend scoring)'!$T$335,"",$A265+1),"")</f>
        <v/>
      </c>
      <c r="B266" s="216" t="e">
        <f ca="1">_xlfn.XLOOKUP($A266,'(backend scoring)'!$V$2:$V$333,'(backend scoring)'!$A$2:$A$333,"")</f>
        <v>#NAME?</v>
      </c>
      <c r="C266" s="216" t="str">
        <f ca="1">IFERROR(VLOOKUP($B266,'Institution Evaluation'!$A$55:$F$346,2,0),IFERROR(VLOOKUP($B266,'Privacy Analyst Evaluation'!$A$46:$F$120,2,0),""))&amp;""</f>
        <v/>
      </c>
      <c r="D266" s="216" t="str">
        <f ca="1">IFERROR(VLOOKUP($B266,'Institution Evaluation'!$A$55:$F$346,3,0),IFERROR(VLOOKUP($B266,'Privacy Analyst Evaluation'!$A$46:$F$120,3,0),""))&amp;""</f>
        <v/>
      </c>
      <c r="E266" s="216" t="str">
        <f ca="1">IFERROR(VLOOKUP($B266,'Institution Evaluation'!$A$55:$F$346,4,0),IFERROR(VLOOKUP($B266,'Privacy Analyst Evaluation'!$A$46:$F$120,4,0),""))&amp;""</f>
        <v/>
      </c>
      <c r="F266" s="216" t="str">
        <f ca="1">IFERROR(VLOOKUP($B266,'Institution Evaluation'!$A$55:$F$346,6,0),IFERROR(VLOOKUP($B266,'Privacy Analyst Evaluation'!$A$46:$F$120,6,0),""))&amp;""</f>
        <v/>
      </c>
      <c r="G266" s="217"/>
      <c r="H266" s="216" t="str">
        <f>IFERROR(IF($H265+1&gt;'(backend scoring)'!$Q$335,"",$H265+1),"")</f>
        <v/>
      </c>
      <c r="I266" s="216" t="e">
        <f ca="1">_xlfn.XLOOKUP($H266,'(backend scoring)'!$S$2:$S$333,'(backend scoring)'!$A$2:$A$333,"")</f>
        <v>#NAME?</v>
      </c>
      <c r="J266" s="216" t="str">
        <f ca="1">IFERROR(VLOOKUP($I266,'Institution Evaluation'!$A$55:$F$346,2,0),IFERROR(VLOOKUP($I266,'Privacy Analyst Evaluation'!$A$46:$F$120,2,0),""))</f>
        <v/>
      </c>
      <c r="K266" s="216" t="str">
        <f ca="1">IFERROR(VLOOKUP($I266,'Institution Evaluation'!$A$55:$F$346,3,0),IFERROR(VLOOKUP($I266,'Privacy Analyst Evaluation'!$A$46:$F$120,3,0),""))&amp;""</f>
        <v/>
      </c>
      <c r="L266" s="216" t="str">
        <f ca="1">IFERROR(VLOOKUP($I266,'Institution Evaluation'!$A$55:$F$346,4,0),IFERROR(VLOOKUP($I266,'Privacy Analyst Evaluation'!$A$46:$F$120,4,0),""))&amp;""</f>
        <v/>
      </c>
      <c r="M266" s="216" t="str">
        <f ca="1">IFERROR(VLOOKUP($I266,'Institution Evaluation'!$A$55:$F$346,6,0),IFERROR(VLOOKUP($I266,'Privacy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ht="17">
      <c r="A267" s="216" t="str">
        <f>IFERROR(IF($A266+1&gt;'(backend scoring)'!$T$335,"",$A266+1),"")</f>
        <v/>
      </c>
      <c r="B267" s="216" t="e">
        <f ca="1">_xlfn.XLOOKUP($A267,'(backend scoring)'!$V$2:$V$333,'(backend scoring)'!$A$2:$A$333,"")</f>
        <v>#NAME?</v>
      </c>
      <c r="C267" s="216" t="str">
        <f ca="1">IFERROR(VLOOKUP($B267,'Institution Evaluation'!$A$55:$F$346,2,0),IFERROR(VLOOKUP($B267,'Privacy Analyst Evaluation'!$A$46:$F$120,2,0),""))&amp;""</f>
        <v/>
      </c>
      <c r="D267" s="216" t="str">
        <f ca="1">IFERROR(VLOOKUP($B267,'Institution Evaluation'!$A$55:$F$346,3,0),IFERROR(VLOOKUP($B267,'Privacy Analyst Evaluation'!$A$46:$F$120,3,0),""))&amp;""</f>
        <v/>
      </c>
      <c r="E267" s="216" t="str">
        <f ca="1">IFERROR(VLOOKUP($B267,'Institution Evaluation'!$A$55:$F$346,4,0),IFERROR(VLOOKUP($B267,'Privacy Analyst Evaluation'!$A$46:$F$120,4,0),""))&amp;""</f>
        <v/>
      </c>
      <c r="F267" s="216" t="str">
        <f ca="1">IFERROR(VLOOKUP($B267,'Institution Evaluation'!$A$55:$F$346,6,0),IFERROR(VLOOKUP($B267,'Privacy Analyst Evaluation'!$A$46:$F$120,6,0),""))&amp;""</f>
        <v/>
      </c>
      <c r="G267" s="217"/>
      <c r="H267" s="216" t="str">
        <f>IFERROR(IF($H266+1&gt;'(backend scoring)'!$Q$335,"",$H266+1),"")</f>
        <v/>
      </c>
      <c r="I267" s="216" t="e">
        <f ca="1">_xlfn.XLOOKUP($H267,'(backend scoring)'!$S$2:$S$333,'(backend scoring)'!$A$2:$A$333,"")</f>
        <v>#NAME?</v>
      </c>
      <c r="J267" s="216" t="str">
        <f ca="1">IFERROR(VLOOKUP($I267,'Institution Evaluation'!$A$55:$F$346,2,0),IFERROR(VLOOKUP($I267,'Privacy Analyst Evaluation'!$A$46:$F$120,2,0),""))</f>
        <v/>
      </c>
      <c r="K267" s="216" t="str">
        <f ca="1">IFERROR(VLOOKUP($I267,'Institution Evaluation'!$A$55:$F$346,3,0),IFERROR(VLOOKUP($I267,'Privacy Analyst Evaluation'!$A$46:$F$120,3,0),""))&amp;""</f>
        <v/>
      </c>
      <c r="L267" s="216" t="str">
        <f ca="1">IFERROR(VLOOKUP($I267,'Institution Evaluation'!$A$55:$F$346,4,0),IFERROR(VLOOKUP($I267,'Privacy Analyst Evaluation'!$A$46:$F$120,4,0),""))&amp;""</f>
        <v/>
      </c>
      <c r="M267" s="216" t="str">
        <f ca="1">IFERROR(VLOOKUP($I267,'Institution Evaluation'!$A$55:$F$346,6,0),IFERROR(VLOOKUP($I267,'Privacy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ht="17">
      <c r="A268" s="216" t="str">
        <f>IFERROR(IF($A267+1&gt;'(backend scoring)'!$T$335,"",$A267+1),"")</f>
        <v/>
      </c>
      <c r="B268" s="216" t="e">
        <f ca="1">_xlfn.XLOOKUP($A268,'(backend scoring)'!$V$2:$V$333,'(backend scoring)'!$A$2:$A$333,"")</f>
        <v>#NAME?</v>
      </c>
      <c r="C268" s="216" t="str">
        <f ca="1">IFERROR(VLOOKUP($B268,'Institution Evaluation'!$A$55:$F$346,2,0),IFERROR(VLOOKUP($B268,'Privacy Analyst Evaluation'!$A$46:$F$120,2,0),""))&amp;""</f>
        <v/>
      </c>
      <c r="D268" s="216" t="str">
        <f ca="1">IFERROR(VLOOKUP($B268,'Institution Evaluation'!$A$55:$F$346,3,0),IFERROR(VLOOKUP($B268,'Privacy Analyst Evaluation'!$A$46:$F$120,3,0),""))&amp;""</f>
        <v/>
      </c>
      <c r="E268" s="216" t="str">
        <f ca="1">IFERROR(VLOOKUP($B268,'Institution Evaluation'!$A$55:$F$346,4,0),IFERROR(VLOOKUP($B268,'Privacy Analyst Evaluation'!$A$46:$F$120,4,0),""))&amp;""</f>
        <v/>
      </c>
      <c r="F268" s="216" t="str">
        <f ca="1">IFERROR(VLOOKUP($B268,'Institution Evaluation'!$A$55:$F$346,6,0),IFERROR(VLOOKUP($B268,'Privacy Analyst Evaluation'!$A$46:$F$120,6,0),""))&amp;""</f>
        <v/>
      </c>
      <c r="G268" s="217"/>
      <c r="H268" s="216" t="str">
        <f>IFERROR(IF($H267+1&gt;'(backend scoring)'!$Q$335,"",$H267+1),"")</f>
        <v/>
      </c>
      <c r="I268" s="216" t="e">
        <f ca="1">_xlfn.XLOOKUP($H268,'(backend scoring)'!$S$2:$S$333,'(backend scoring)'!$A$2:$A$333,"")</f>
        <v>#NAME?</v>
      </c>
      <c r="J268" s="216" t="str">
        <f ca="1">IFERROR(VLOOKUP($I268,'Institution Evaluation'!$A$55:$F$346,2,0),IFERROR(VLOOKUP($I268,'Privacy Analyst Evaluation'!$A$46:$F$120,2,0),""))</f>
        <v/>
      </c>
      <c r="K268" s="216" t="str">
        <f ca="1">IFERROR(VLOOKUP($I268,'Institution Evaluation'!$A$55:$F$346,3,0),IFERROR(VLOOKUP($I268,'Privacy Analyst Evaluation'!$A$46:$F$120,3,0),""))&amp;""</f>
        <v/>
      </c>
      <c r="L268" s="216" t="str">
        <f ca="1">IFERROR(VLOOKUP($I268,'Institution Evaluation'!$A$55:$F$346,4,0),IFERROR(VLOOKUP($I268,'Privacy Analyst Evaluation'!$A$46:$F$120,4,0),""))&amp;""</f>
        <v/>
      </c>
      <c r="M268" s="216" t="str">
        <f ca="1">IFERROR(VLOOKUP($I268,'Institution Evaluation'!$A$55:$F$346,6,0),IFERROR(VLOOKUP($I268,'Privacy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ht="17">
      <c r="A269" s="216" t="str">
        <f>IFERROR(IF($A268+1&gt;'(backend scoring)'!$T$335,"",$A268+1),"")</f>
        <v/>
      </c>
      <c r="B269" s="216" t="e">
        <f ca="1">_xlfn.XLOOKUP($A269,'(backend scoring)'!$V$2:$V$333,'(backend scoring)'!$A$2:$A$333,"")</f>
        <v>#NAME?</v>
      </c>
      <c r="C269" s="216" t="str">
        <f ca="1">IFERROR(VLOOKUP($B269,'Institution Evaluation'!$A$55:$F$346,2,0),IFERROR(VLOOKUP($B269,'Privacy Analyst Evaluation'!$A$46:$F$120,2,0),""))&amp;""</f>
        <v/>
      </c>
      <c r="D269" s="216" t="str">
        <f ca="1">IFERROR(VLOOKUP($B269,'Institution Evaluation'!$A$55:$F$346,3,0),IFERROR(VLOOKUP($B269,'Privacy Analyst Evaluation'!$A$46:$F$120,3,0),""))&amp;""</f>
        <v/>
      </c>
      <c r="E269" s="216" t="str">
        <f ca="1">IFERROR(VLOOKUP($B269,'Institution Evaluation'!$A$55:$F$346,4,0),IFERROR(VLOOKUP($B269,'Privacy Analyst Evaluation'!$A$46:$F$120,4,0),""))&amp;""</f>
        <v/>
      </c>
      <c r="F269" s="216" t="str">
        <f ca="1">IFERROR(VLOOKUP($B269,'Institution Evaluation'!$A$55:$F$346,6,0),IFERROR(VLOOKUP($B269,'Privacy Analyst Evaluation'!$A$46:$F$120,6,0),""))&amp;""</f>
        <v/>
      </c>
      <c r="G269" s="217"/>
      <c r="H269" s="216" t="str">
        <f>IFERROR(IF($H268+1&gt;'(backend scoring)'!$Q$335,"",$H268+1),"")</f>
        <v/>
      </c>
      <c r="I269" s="216" t="e">
        <f ca="1">_xlfn.XLOOKUP($H269,'(backend scoring)'!$S$2:$S$333,'(backend scoring)'!$A$2:$A$333,"")</f>
        <v>#NAME?</v>
      </c>
      <c r="J269" s="216" t="str">
        <f ca="1">IFERROR(VLOOKUP($I269,'Institution Evaluation'!$A$55:$F$346,2,0),IFERROR(VLOOKUP($I269,'Privacy Analyst Evaluation'!$A$46:$F$120,2,0),""))</f>
        <v/>
      </c>
      <c r="K269" s="216" t="str">
        <f ca="1">IFERROR(VLOOKUP($I269,'Institution Evaluation'!$A$55:$F$346,3,0),IFERROR(VLOOKUP($I269,'Privacy Analyst Evaluation'!$A$46:$F$120,3,0),""))&amp;""</f>
        <v/>
      </c>
      <c r="L269" s="216" t="str">
        <f ca="1">IFERROR(VLOOKUP($I269,'Institution Evaluation'!$A$55:$F$346,4,0),IFERROR(VLOOKUP($I269,'Privacy Analyst Evaluation'!$A$46:$F$120,4,0),""))&amp;""</f>
        <v/>
      </c>
      <c r="M269" s="216" t="str">
        <f ca="1">IFERROR(VLOOKUP($I269,'Institution Evaluation'!$A$55:$F$346,6,0),IFERROR(VLOOKUP($I269,'Privacy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ht="17">
      <c r="A270" s="216" t="str">
        <f>IFERROR(IF($A269+1&gt;'(backend scoring)'!$T$335,"",$A269+1),"")</f>
        <v/>
      </c>
      <c r="B270" s="216" t="e">
        <f ca="1">_xlfn.XLOOKUP($A270,'(backend scoring)'!$V$2:$V$333,'(backend scoring)'!$A$2:$A$333,"")</f>
        <v>#NAME?</v>
      </c>
      <c r="C270" s="216" t="str">
        <f ca="1">IFERROR(VLOOKUP($B270,'Institution Evaluation'!$A$55:$F$346,2,0),IFERROR(VLOOKUP($B270,'Privacy Analyst Evaluation'!$A$46:$F$120,2,0),""))&amp;""</f>
        <v/>
      </c>
      <c r="D270" s="216" t="str">
        <f ca="1">IFERROR(VLOOKUP($B270,'Institution Evaluation'!$A$55:$F$346,3,0),IFERROR(VLOOKUP($B270,'Privacy Analyst Evaluation'!$A$46:$F$120,3,0),""))&amp;""</f>
        <v/>
      </c>
      <c r="E270" s="216" t="str">
        <f ca="1">IFERROR(VLOOKUP($B270,'Institution Evaluation'!$A$55:$F$346,4,0),IFERROR(VLOOKUP($B270,'Privacy Analyst Evaluation'!$A$46:$F$120,4,0),""))&amp;""</f>
        <v/>
      </c>
      <c r="F270" s="216" t="str">
        <f ca="1">IFERROR(VLOOKUP($B270,'Institution Evaluation'!$A$55:$F$346,6,0),IFERROR(VLOOKUP($B270,'Privacy Analyst Evaluation'!$A$46:$F$120,6,0),""))&amp;""</f>
        <v/>
      </c>
      <c r="G270" s="217"/>
      <c r="H270" s="216" t="str">
        <f>IFERROR(IF($H269+1&gt;'(backend scoring)'!$Q$335,"",$H269+1),"")</f>
        <v/>
      </c>
      <c r="I270" s="216" t="e">
        <f ca="1">_xlfn.XLOOKUP($H270,'(backend scoring)'!$S$2:$S$333,'(backend scoring)'!$A$2:$A$333,"")</f>
        <v>#NAME?</v>
      </c>
      <c r="J270" s="216" t="str">
        <f ca="1">IFERROR(VLOOKUP($I270,'Institution Evaluation'!$A$55:$F$346,2,0),IFERROR(VLOOKUP($I270,'Privacy Analyst Evaluation'!$A$46:$F$120,2,0),""))</f>
        <v/>
      </c>
      <c r="K270" s="216" t="str">
        <f ca="1">IFERROR(VLOOKUP($I270,'Institution Evaluation'!$A$55:$F$346,3,0),IFERROR(VLOOKUP($I270,'Privacy Analyst Evaluation'!$A$46:$F$120,3,0),""))&amp;""</f>
        <v/>
      </c>
      <c r="L270" s="216" t="str">
        <f ca="1">IFERROR(VLOOKUP($I270,'Institution Evaluation'!$A$55:$F$346,4,0),IFERROR(VLOOKUP($I270,'Privacy Analyst Evaluation'!$A$46:$F$120,4,0),""))&amp;""</f>
        <v/>
      </c>
      <c r="M270" s="216" t="str">
        <f ca="1">IFERROR(VLOOKUP($I270,'Institution Evaluation'!$A$55:$F$346,6,0),IFERROR(VLOOKUP($I270,'Privacy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ht="17">
      <c r="A271" s="216" t="str">
        <f>IFERROR(IF($A270+1&gt;'(backend scoring)'!$T$335,"",$A270+1),"")</f>
        <v/>
      </c>
      <c r="B271" s="216" t="e">
        <f ca="1">_xlfn.XLOOKUP($A271,'(backend scoring)'!$V$2:$V$333,'(backend scoring)'!$A$2:$A$333,"")</f>
        <v>#NAME?</v>
      </c>
      <c r="C271" s="216" t="str">
        <f ca="1">IFERROR(VLOOKUP($B271,'Institution Evaluation'!$A$55:$F$346,2,0),IFERROR(VLOOKUP($B271,'Privacy Analyst Evaluation'!$A$46:$F$120,2,0),""))&amp;""</f>
        <v/>
      </c>
      <c r="D271" s="216" t="str">
        <f ca="1">IFERROR(VLOOKUP($B271,'Institution Evaluation'!$A$55:$F$346,3,0),IFERROR(VLOOKUP($B271,'Privacy Analyst Evaluation'!$A$46:$F$120,3,0),""))&amp;""</f>
        <v/>
      </c>
      <c r="E271" s="216" t="str">
        <f ca="1">IFERROR(VLOOKUP($B271,'Institution Evaluation'!$A$55:$F$346,4,0),IFERROR(VLOOKUP($B271,'Privacy Analyst Evaluation'!$A$46:$F$120,4,0),""))&amp;""</f>
        <v/>
      </c>
      <c r="F271" s="216" t="str">
        <f ca="1">IFERROR(VLOOKUP($B271,'Institution Evaluation'!$A$55:$F$346,6,0),IFERROR(VLOOKUP($B271,'Privacy Analyst Evaluation'!$A$46:$F$120,6,0),""))&amp;""</f>
        <v/>
      </c>
      <c r="G271" s="217"/>
      <c r="H271" s="216" t="str">
        <f>IFERROR(IF($H270+1&gt;'(backend scoring)'!$Q$335,"",$H270+1),"")</f>
        <v/>
      </c>
      <c r="I271" s="216" t="e">
        <f ca="1">_xlfn.XLOOKUP($H271,'(backend scoring)'!$S$2:$S$333,'(backend scoring)'!$A$2:$A$333,"")</f>
        <v>#NAME?</v>
      </c>
      <c r="J271" s="216" t="str">
        <f ca="1">IFERROR(VLOOKUP($I271,'Institution Evaluation'!$A$55:$F$346,2,0),IFERROR(VLOOKUP($I271,'Privacy Analyst Evaluation'!$A$46:$F$120,2,0),""))</f>
        <v/>
      </c>
      <c r="K271" s="216" t="str">
        <f ca="1">IFERROR(VLOOKUP($I271,'Institution Evaluation'!$A$55:$F$346,3,0),IFERROR(VLOOKUP($I271,'Privacy Analyst Evaluation'!$A$46:$F$120,3,0),""))&amp;""</f>
        <v/>
      </c>
      <c r="L271" s="216" t="str">
        <f ca="1">IFERROR(VLOOKUP($I271,'Institution Evaluation'!$A$55:$F$346,4,0),IFERROR(VLOOKUP($I271,'Privacy Analyst Evaluation'!$A$46:$F$120,4,0),""))&amp;""</f>
        <v/>
      </c>
      <c r="M271" s="216" t="str">
        <f ca="1">IFERROR(VLOOKUP($I271,'Institution Evaluation'!$A$55:$F$346,6,0),IFERROR(VLOOKUP($I271,'Privacy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ht="17">
      <c r="A272" s="216" t="str">
        <f>IFERROR(IF($A271+1&gt;'(backend scoring)'!$T$335,"",$A271+1),"")</f>
        <v/>
      </c>
      <c r="B272" s="216" t="e">
        <f ca="1">_xlfn.XLOOKUP($A272,'(backend scoring)'!$V$2:$V$333,'(backend scoring)'!$A$2:$A$333,"")</f>
        <v>#NAME?</v>
      </c>
      <c r="C272" s="216" t="str">
        <f ca="1">IFERROR(VLOOKUP($B272,'Institution Evaluation'!$A$55:$F$346,2,0),IFERROR(VLOOKUP($B272,'Privacy Analyst Evaluation'!$A$46:$F$120,2,0),""))&amp;""</f>
        <v/>
      </c>
      <c r="D272" s="216" t="str">
        <f ca="1">IFERROR(VLOOKUP($B272,'Institution Evaluation'!$A$55:$F$346,3,0),IFERROR(VLOOKUP($B272,'Privacy Analyst Evaluation'!$A$46:$F$120,3,0),""))&amp;""</f>
        <v/>
      </c>
      <c r="E272" s="216" t="str">
        <f ca="1">IFERROR(VLOOKUP($B272,'Institution Evaluation'!$A$55:$F$346,4,0),IFERROR(VLOOKUP($B272,'Privacy Analyst Evaluation'!$A$46:$F$120,4,0),""))&amp;""</f>
        <v/>
      </c>
      <c r="F272" s="216" t="str">
        <f ca="1">IFERROR(VLOOKUP($B272,'Institution Evaluation'!$A$55:$F$346,6,0),IFERROR(VLOOKUP($B272,'Privacy Analyst Evaluation'!$A$46:$F$120,6,0),""))&amp;""</f>
        <v/>
      </c>
      <c r="G272" s="217"/>
      <c r="H272" s="216" t="str">
        <f>IFERROR(IF($H271+1&gt;'(backend scoring)'!$Q$335,"",$H271+1),"")</f>
        <v/>
      </c>
      <c r="I272" s="216" t="e">
        <f ca="1">_xlfn.XLOOKUP($H272,'(backend scoring)'!$S$2:$S$333,'(backend scoring)'!$A$2:$A$333,"")</f>
        <v>#NAME?</v>
      </c>
      <c r="J272" s="216" t="str">
        <f ca="1">IFERROR(VLOOKUP($I272,'Institution Evaluation'!$A$55:$F$346,2,0),IFERROR(VLOOKUP($I272,'Privacy Analyst Evaluation'!$A$46:$F$120,2,0),""))</f>
        <v/>
      </c>
      <c r="K272" s="216" t="str">
        <f ca="1">IFERROR(VLOOKUP($I272,'Institution Evaluation'!$A$55:$F$346,3,0),IFERROR(VLOOKUP($I272,'Privacy Analyst Evaluation'!$A$46:$F$120,3,0),""))&amp;""</f>
        <v/>
      </c>
      <c r="L272" s="216" t="str">
        <f ca="1">IFERROR(VLOOKUP($I272,'Institution Evaluation'!$A$55:$F$346,4,0),IFERROR(VLOOKUP($I272,'Privacy Analyst Evaluation'!$A$46:$F$120,4,0),""))&amp;""</f>
        <v/>
      </c>
      <c r="M272" s="216" t="str">
        <f ca="1">IFERROR(VLOOKUP($I272,'Institution Evaluation'!$A$55:$F$346,6,0),IFERROR(VLOOKUP($I272,'Privacy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ht="17">
      <c r="A273" s="216" t="str">
        <f>IFERROR(IF($A272+1&gt;'(backend scoring)'!$T$335,"",$A272+1),"")</f>
        <v/>
      </c>
      <c r="B273" s="216" t="e">
        <f ca="1">_xlfn.XLOOKUP($A273,'(backend scoring)'!$V$2:$V$333,'(backend scoring)'!$A$2:$A$333,"")</f>
        <v>#NAME?</v>
      </c>
      <c r="C273" s="216" t="str">
        <f ca="1">IFERROR(VLOOKUP($B273,'Institution Evaluation'!$A$55:$F$346,2,0),IFERROR(VLOOKUP($B273,'Privacy Analyst Evaluation'!$A$46:$F$120,2,0),""))&amp;""</f>
        <v/>
      </c>
      <c r="D273" s="216" t="str">
        <f ca="1">IFERROR(VLOOKUP($B273,'Institution Evaluation'!$A$55:$F$346,3,0),IFERROR(VLOOKUP($B273,'Privacy Analyst Evaluation'!$A$46:$F$120,3,0),""))&amp;""</f>
        <v/>
      </c>
      <c r="E273" s="216" t="str">
        <f ca="1">IFERROR(VLOOKUP($B273,'Institution Evaluation'!$A$55:$F$346,4,0),IFERROR(VLOOKUP($B273,'Privacy Analyst Evaluation'!$A$46:$F$120,4,0),""))&amp;""</f>
        <v/>
      </c>
      <c r="F273" s="216" t="str">
        <f ca="1">IFERROR(VLOOKUP($B273,'Institution Evaluation'!$A$55:$F$346,6,0),IFERROR(VLOOKUP($B273,'Privacy Analyst Evaluation'!$A$46:$F$120,6,0),""))&amp;""</f>
        <v/>
      </c>
      <c r="G273" s="217"/>
      <c r="H273" s="216" t="str">
        <f>IFERROR(IF($H272+1&gt;'(backend scoring)'!$Q$335,"",$H272+1),"")</f>
        <v/>
      </c>
      <c r="I273" s="216" t="e">
        <f ca="1">_xlfn.XLOOKUP($H273,'(backend scoring)'!$S$2:$S$333,'(backend scoring)'!$A$2:$A$333,"")</f>
        <v>#NAME?</v>
      </c>
      <c r="J273" s="216" t="str">
        <f ca="1">IFERROR(VLOOKUP($I273,'Institution Evaluation'!$A$55:$F$346,2,0),IFERROR(VLOOKUP($I273,'Privacy Analyst Evaluation'!$A$46:$F$120,2,0),""))</f>
        <v/>
      </c>
      <c r="K273" s="216" t="str">
        <f ca="1">IFERROR(VLOOKUP($I273,'Institution Evaluation'!$A$55:$F$346,3,0),IFERROR(VLOOKUP($I273,'Privacy Analyst Evaluation'!$A$46:$F$120,3,0),""))&amp;""</f>
        <v/>
      </c>
      <c r="L273" s="216" t="str">
        <f ca="1">IFERROR(VLOOKUP($I273,'Institution Evaluation'!$A$55:$F$346,4,0),IFERROR(VLOOKUP($I273,'Privacy Analyst Evaluation'!$A$46:$F$120,4,0),""))&amp;""</f>
        <v/>
      </c>
      <c r="M273" s="216" t="str">
        <f ca="1">IFERROR(VLOOKUP($I273,'Institution Evaluation'!$A$55:$F$346,6,0),IFERROR(VLOOKUP($I273,'Privacy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ht="17">
      <c r="A274" s="216" t="str">
        <f>IFERROR(IF($A273+1&gt;'(backend scoring)'!$T$335,"",$A273+1),"")</f>
        <v/>
      </c>
      <c r="B274" s="216" t="e">
        <f ca="1">_xlfn.XLOOKUP($A274,'(backend scoring)'!$V$2:$V$333,'(backend scoring)'!$A$2:$A$333,"")</f>
        <v>#NAME?</v>
      </c>
      <c r="C274" s="216" t="str">
        <f ca="1">IFERROR(VLOOKUP($B274,'Institution Evaluation'!$A$55:$F$346,2,0),IFERROR(VLOOKUP($B274,'Privacy Analyst Evaluation'!$A$46:$F$120,2,0),""))&amp;""</f>
        <v/>
      </c>
      <c r="D274" s="216" t="str">
        <f ca="1">IFERROR(VLOOKUP($B274,'Institution Evaluation'!$A$55:$F$346,3,0),IFERROR(VLOOKUP($B274,'Privacy Analyst Evaluation'!$A$46:$F$120,3,0),""))&amp;""</f>
        <v/>
      </c>
      <c r="E274" s="216" t="str">
        <f ca="1">IFERROR(VLOOKUP($B274,'Institution Evaluation'!$A$55:$F$346,4,0),IFERROR(VLOOKUP($B274,'Privacy Analyst Evaluation'!$A$46:$F$120,4,0),""))&amp;""</f>
        <v/>
      </c>
      <c r="F274" s="216" t="str">
        <f ca="1">IFERROR(VLOOKUP($B274,'Institution Evaluation'!$A$55:$F$346,6,0),IFERROR(VLOOKUP($B274,'Privacy Analyst Evaluation'!$A$46:$F$120,6,0),""))&amp;""</f>
        <v/>
      </c>
      <c r="G274" s="217"/>
      <c r="H274" s="216" t="str">
        <f>IFERROR(IF($H273+1&gt;'(backend scoring)'!$Q$335,"",$H273+1),"")</f>
        <v/>
      </c>
      <c r="I274" s="216" t="e">
        <f ca="1">_xlfn.XLOOKUP($H274,'(backend scoring)'!$S$2:$S$333,'(backend scoring)'!$A$2:$A$333,"")</f>
        <v>#NAME?</v>
      </c>
      <c r="J274" s="216" t="str">
        <f ca="1">IFERROR(VLOOKUP($I274,'Institution Evaluation'!$A$55:$F$346,2,0),IFERROR(VLOOKUP($I274,'Privacy Analyst Evaluation'!$A$46:$F$120,2,0),""))</f>
        <v/>
      </c>
      <c r="K274" s="216" t="str">
        <f ca="1">IFERROR(VLOOKUP($I274,'Institution Evaluation'!$A$55:$F$346,3,0),IFERROR(VLOOKUP($I274,'Privacy Analyst Evaluation'!$A$46:$F$120,3,0),""))&amp;""</f>
        <v/>
      </c>
      <c r="L274" s="216" t="str">
        <f ca="1">IFERROR(VLOOKUP($I274,'Institution Evaluation'!$A$55:$F$346,4,0),IFERROR(VLOOKUP($I274,'Privacy Analyst Evaluation'!$A$46:$F$120,4,0),""))&amp;""</f>
        <v/>
      </c>
      <c r="M274" s="216" t="str">
        <f ca="1">IFERROR(VLOOKUP($I274,'Institution Evaluation'!$A$55:$F$346,6,0),IFERROR(VLOOKUP($I274,'Privacy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ht="17">
      <c r="A275" s="216" t="str">
        <f>IFERROR(IF($A274+1&gt;'(backend scoring)'!$T$335,"",$A274+1),"")</f>
        <v/>
      </c>
      <c r="B275" s="216" t="e">
        <f ca="1">_xlfn.XLOOKUP($A275,'(backend scoring)'!$V$2:$V$333,'(backend scoring)'!$A$2:$A$333,"")</f>
        <v>#NAME?</v>
      </c>
      <c r="C275" s="216" t="str">
        <f ca="1">IFERROR(VLOOKUP($B275,'Institution Evaluation'!$A$55:$F$346,2,0),IFERROR(VLOOKUP($B275,'Privacy Analyst Evaluation'!$A$46:$F$120,2,0),""))&amp;""</f>
        <v/>
      </c>
      <c r="D275" s="216" t="str">
        <f ca="1">IFERROR(VLOOKUP($B275,'Institution Evaluation'!$A$55:$F$346,3,0),IFERROR(VLOOKUP($B275,'Privacy Analyst Evaluation'!$A$46:$F$120,3,0),""))&amp;""</f>
        <v/>
      </c>
      <c r="E275" s="216" t="str">
        <f ca="1">IFERROR(VLOOKUP($B275,'Institution Evaluation'!$A$55:$F$346,4,0),IFERROR(VLOOKUP($B275,'Privacy Analyst Evaluation'!$A$46:$F$120,4,0),""))&amp;""</f>
        <v/>
      </c>
      <c r="F275" s="216" t="str">
        <f ca="1">IFERROR(VLOOKUP($B275,'Institution Evaluation'!$A$55:$F$346,6,0),IFERROR(VLOOKUP($B275,'Privacy Analyst Evaluation'!$A$46:$F$120,6,0),""))&amp;""</f>
        <v/>
      </c>
      <c r="G275" s="217"/>
      <c r="H275" s="216" t="str">
        <f>IFERROR(IF($H274+1&gt;'(backend scoring)'!$Q$335,"",$H274+1),"")</f>
        <v/>
      </c>
      <c r="I275" s="216" t="e">
        <f ca="1">_xlfn.XLOOKUP($H275,'(backend scoring)'!$S$2:$S$333,'(backend scoring)'!$A$2:$A$333,"")</f>
        <v>#NAME?</v>
      </c>
      <c r="J275" s="216" t="str">
        <f ca="1">IFERROR(VLOOKUP($I275,'Institution Evaluation'!$A$55:$F$346,2,0),IFERROR(VLOOKUP($I275,'Privacy Analyst Evaluation'!$A$46:$F$120,2,0),""))</f>
        <v/>
      </c>
      <c r="K275" s="216" t="str">
        <f ca="1">IFERROR(VLOOKUP($I275,'Institution Evaluation'!$A$55:$F$346,3,0),IFERROR(VLOOKUP($I275,'Privacy Analyst Evaluation'!$A$46:$F$120,3,0),""))&amp;""</f>
        <v/>
      </c>
      <c r="L275" s="216" t="str">
        <f ca="1">IFERROR(VLOOKUP($I275,'Institution Evaluation'!$A$55:$F$346,4,0),IFERROR(VLOOKUP($I275,'Privacy Analyst Evaluation'!$A$46:$F$120,4,0),""))&amp;""</f>
        <v/>
      </c>
      <c r="M275" s="216" t="str">
        <f ca="1">IFERROR(VLOOKUP($I275,'Institution Evaluation'!$A$55:$F$346,6,0),IFERROR(VLOOKUP($I275,'Privacy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ht="17">
      <c r="A276" s="216" t="str">
        <f>IFERROR(IF($A275+1&gt;'(backend scoring)'!$T$335,"",$A275+1),"")</f>
        <v/>
      </c>
      <c r="B276" s="216" t="e">
        <f ca="1">_xlfn.XLOOKUP($A276,'(backend scoring)'!$V$2:$V$333,'(backend scoring)'!$A$2:$A$333,"")</f>
        <v>#NAME?</v>
      </c>
      <c r="C276" s="216" t="str">
        <f ca="1">IFERROR(VLOOKUP($B276,'Institution Evaluation'!$A$55:$F$346,2,0),IFERROR(VLOOKUP($B276,'Privacy Analyst Evaluation'!$A$46:$F$120,2,0),""))&amp;""</f>
        <v/>
      </c>
      <c r="D276" s="216" t="str">
        <f ca="1">IFERROR(VLOOKUP($B276,'Institution Evaluation'!$A$55:$F$346,3,0),IFERROR(VLOOKUP($B276,'Privacy Analyst Evaluation'!$A$46:$F$120,3,0),""))&amp;""</f>
        <v/>
      </c>
      <c r="E276" s="216" t="str">
        <f ca="1">IFERROR(VLOOKUP($B276,'Institution Evaluation'!$A$55:$F$346,4,0),IFERROR(VLOOKUP($B276,'Privacy Analyst Evaluation'!$A$46:$F$120,4,0),""))&amp;""</f>
        <v/>
      </c>
      <c r="F276" s="216" t="str">
        <f ca="1">IFERROR(VLOOKUP($B276,'Institution Evaluation'!$A$55:$F$346,6,0),IFERROR(VLOOKUP($B276,'Privacy Analyst Evaluation'!$A$46:$F$120,6,0),""))&amp;""</f>
        <v/>
      </c>
      <c r="G276" s="217"/>
      <c r="H276" s="216" t="str">
        <f>IFERROR(IF($H275+1&gt;'(backend scoring)'!$Q$335,"",$H275+1),"")</f>
        <v/>
      </c>
      <c r="I276" s="216" t="e">
        <f ca="1">_xlfn.XLOOKUP($H276,'(backend scoring)'!$S$2:$S$333,'(backend scoring)'!$A$2:$A$333,"")</f>
        <v>#NAME?</v>
      </c>
      <c r="J276" s="216" t="str">
        <f ca="1">IFERROR(VLOOKUP($I276,'Institution Evaluation'!$A$55:$F$346,2,0),IFERROR(VLOOKUP($I276,'Privacy Analyst Evaluation'!$A$46:$F$120,2,0),""))</f>
        <v/>
      </c>
      <c r="K276" s="216" t="str">
        <f ca="1">IFERROR(VLOOKUP($I276,'Institution Evaluation'!$A$55:$F$346,3,0),IFERROR(VLOOKUP($I276,'Privacy Analyst Evaluation'!$A$46:$F$120,3,0),""))&amp;""</f>
        <v/>
      </c>
      <c r="L276" s="216" t="str">
        <f ca="1">IFERROR(VLOOKUP($I276,'Institution Evaluation'!$A$55:$F$346,4,0),IFERROR(VLOOKUP($I276,'Privacy Analyst Evaluation'!$A$46:$F$120,4,0),""))&amp;""</f>
        <v/>
      </c>
      <c r="M276" s="216" t="str">
        <f ca="1">IFERROR(VLOOKUP($I276,'Institution Evaluation'!$A$55:$F$346,6,0),IFERROR(VLOOKUP($I276,'Privacy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ht="17">
      <c r="A277" s="216" t="str">
        <f>IFERROR(IF($A276+1&gt;'(backend scoring)'!$T$335,"",$A276+1),"")</f>
        <v/>
      </c>
      <c r="B277" s="216" t="e">
        <f ca="1">_xlfn.XLOOKUP($A277,'(backend scoring)'!$V$2:$V$333,'(backend scoring)'!$A$2:$A$333,"")</f>
        <v>#NAME?</v>
      </c>
      <c r="C277" s="216" t="str">
        <f ca="1">IFERROR(VLOOKUP($B277,'Institution Evaluation'!$A$55:$F$346,2,0),IFERROR(VLOOKUP($B277,'Privacy Analyst Evaluation'!$A$46:$F$120,2,0),""))&amp;""</f>
        <v/>
      </c>
      <c r="D277" s="216" t="str">
        <f ca="1">IFERROR(VLOOKUP($B277,'Institution Evaluation'!$A$55:$F$346,3,0),IFERROR(VLOOKUP($B277,'Privacy Analyst Evaluation'!$A$46:$F$120,3,0),""))&amp;""</f>
        <v/>
      </c>
      <c r="E277" s="216" t="str">
        <f ca="1">IFERROR(VLOOKUP($B277,'Institution Evaluation'!$A$55:$F$346,4,0),IFERROR(VLOOKUP($B277,'Privacy Analyst Evaluation'!$A$46:$F$120,4,0),""))&amp;""</f>
        <v/>
      </c>
      <c r="F277" s="216" t="str">
        <f ca="1">IFERROR(VLOOKUP($B277,'Institution Evaluation'!$A$55:$F$346,6,0),IFERROR(VLOOKUP($B277,'Privacy Analyst Evaluation'!$A$46:$F$120,6,0),""))&amp;""</f>
        <v/>
      </c>
      <c r="G277" s="217"/>
      <c r="H277" s="216" t="str">
        <f>IFERROR(IF($H276+1&gt;'(backend scoring)'!$Q$335,"",$H276+1),"")</f>
        <v/>
      </c>
      <c r="I277" s="216" t="e">
        <f ca="1">_xlfn.XLOOKUP($H277,'(backend scoring)'!$S$2:$S$333,'(backend scoring)'!$A$2:$A$333,"")</f>
        <v>#NAME?</v>
      </c>
      <c r="J277" s="216" t="str">
        <f ca="1">IFERROR(VLOOKUP($I277,'Institution Evaluation'!$A$55:$F$346,2,0),IFERROR(VLOOKUP($I277,'Privacy Analyst Evaluation'!$A$46:$F$120,2,0),""))</f>
        <v/>
      </c>
      <c r="K277" s="216" t="str">
        <f ca="1">IFERROR(VLOOKUP($I277,'Institution Evaluation'!$A$55:$F$346,3,0),IFERROR(VLOOKUP($I277,'Privacy Analyst Evaluation'!$A$46:$F$120,3,0),""))&amp;""</f>
        <v/>
      </c>
      <c r="L277" s="216" t="str">
        <f ca="1">IFERROR(VLOOKUP($I277,'Institution Evaluation'!$A$55:$F$346,4,0),IFERROR(VLOOKUP($I277,'Privacy Analyst Evaluation'!$A$46:$F$120,4,0),""))&amp;""</f>
        <v/>
      </c>
      <c r="M277" s="216" t="str">
        <f ca="1">IFERROR(VLOOKUP($I277,'Institution Evaluation'!$A$55:$F$346,6,0),IFERROR(VLOOKUP($I277,'Privacy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ht="17">
      <c r="A278" s="216" t="str">
        <f>IFERROR(IF($A277+1&gt;'(backend scoring)'!$T$335,"",$A277+1),"")</f>
        <v/>
      </c>
      <c r="B278" s="216" t="e">
        <f ca="1">_xlfn.XLOOKUP($A278,'(backend scoring)'!$V$2:$V$333,'(backend scoring)'!$A$2:$A$333,"")</f>
        <v>#NAME?</v>
      </c>
      <c r="C278" s="216" t="str">
        <f ca="1">IFERROR(VLOOKUP($B278,'Institution Evaluation'!$A$55:$F$346,2,0),IFERROR(VLOOKUP($B278,'Privacy Analyst Evaluation'!$A$46:$F$120,2,0),""))&amp;""</f>
        <v/>
      </c>
      <c r="D278" s="216" t="str">
        <f ca="1">IFERROR(VLOOKUP($B278,'Institution Evaluation'!$A$55:$F$346,3,0),IFERROR(VLOOKUP($B278,'Privacy Analyst Evaluation'!$A$46:$F$120,3,0),""))&amp;""</f>
        <v/>
      </c>
      <c r="E278" s="216" t="str">
        <f ca="1">IFERROR(VLOOKUP($B278,'Institution Evaluation'!$A$55:$F$346,4,0),IFERROR(VLOOKUP($B278,'Privacy Analyst Evaluation'!$A$46:$F$120,4,0),""))&amp;""</f>
        <v/>
      </c>
      <c r="F278" s="216" t="str">
        <f ca="1">IFERROR(VLOOKUP($B278,'Institution Evaluation'!$A$55:$F$346,6,0),IFERROR(VLOOKUP($B278,'Privacy Analyst Evaluation'!$A$46:$F$120,6,0),""))&amp;""</f>
        <v/>
      </c>
      <c r="G278" s="217"/>
      <c r="H278" s="216" t="str">
        <f>IFERROR(IF($H277+1&gt;'(backend scoring)'!$Q$335,"",$H277+1),"")</f>
        <v/>
      </c>
      <c r="I278" s="216" t="e">
        <f ca="1">_xlfn.XLOOKUP($H278,'(backend scoring)'!$S$2:$S$333,'(backend scoring)'!$A$2:$A$333,"")</f>
        <v>#NAME?</v>
      </c>
      <c r="J278" s="216" t="str">
        <f ca="1">IFERROR(VLOOKUP($I278,'Institution Evaluation'!$A$55:$F$346,2,0),IFERROR(VLOOKUP($I278,'Privacy Analyst Evaluation'!$A$46:$F$120,2,0),""))</f>
        <v/>
      </c>
      <c r="K278" s="216" t="str">
        <f ca="1">IFERROR(VLOOKUP($I278,'Institution Evaluation'!$A$55:$F$346,3,0),IFERROR(VLOOKUP($I278,'Privacy Analyst Evaluation'!$A$46:$F$120,3,0),""))&amp;""</f>
        <v/>
      </c>
      <c r="L278" s="216" t="str">
        <f ca="1">IFERROR(VLOOKUP($I278,'Institution Evaluation'!$A$55:$F$346,4,0),IFERROR(VLOOKUP($I278,'Privacy Analyst Evaluation'!$A$46:$F$120,4,0),""))&amp;""</f>
        <v/>
      </c>
      <c r="M278" s="216" t="str">
        <f ca="1">IFERROR(VLOOKUP($I278,'Institution Evaluation'!$A$55:$F$346,6,0),IFERROR(VLOOKUP($I278,'Privacy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ht="17">
      <c r="A279" s="216" t="str">
        <f>IFERROR(IF($A278+1&gt;'(backend scoring)'!$T$335,"",$A278+1),"")</f>
        <v/>
      </c>
      <c r="B279" s="216" t="e">
        <f ca="1">_xlfn.XLOOKUP($A279,'(backend scoring)'!$V$2:$V$333,'(backend scoring)'!$A$2:$A$333,"")</f>
        <v>#NAME?</v>
      </c>
      <c r="C279" s="216" t="str">
        <f ca="1">IFERROR(VLOOKUP($B279,'Institution Evaluation'!$A$55:$F$346,2,0),IFERROR(VLOOKUP($B279,'Privacy Analyst Evaluation'!$A$46:$F$120,2,0),""))&amp;""</f>
        <v/>
      </c>
      <c r="D279" s="216" t="str">
        <f ca="1">IFERROR(VLOOKUP($B279,'Institution Evaluation'!$A$55:$F$346,3,0),IFERROR(VLOOKUP($B279,'Privacy Analyst Evaluation'!$A$46:$F$120,3,0),""))&amp;""</f>
        <v/>
      </c>
      <c r="E279" s="216" t="str">
        <f ca="1">IFERROR(VLOOKUP($B279,'Institution Evaluation'!$A$55:$F$346,4,0),IFERROR(VLOOKUP($B279,'Privacy Analyst Evaluation'!$A$46:$F$120,4,0),""))&amp;""</f>
        <v/>
      </c>
      <c r="F279" s="216" t="str">
        <f ca="1">IFERROR(VLOOKUP($B279,'Institution Evaluation'!$A$55:$F$346,6,0),IFERROR(VLOOKUP($B279,'Privacy Analyst Evaluation'!$A$46:$F$120,6,0),""))&amp;""</f>
        <v/>
      </c>
      <c r="G279" s="217"/>
      <c r="H279" s="216" t="str">
        <f>IFERROR(IF($H278+1&gt;'(backend scoring)'!$Q$335,"",$H278+1),"")</f>
        <v/>
      </c>
      <c r="I279" s="216" t="e">
        <f ca="1">_xlfn.XLOOKUP($H279,'(backend scoring)'!$S$2:$S$333,'(backend scoring)'!$A$2:$A$333,"")</f>
        <v>#NAME?</v>
      </c>
      <c r="J279" s="216" t="str">
        <f ca="1">IFERROR(VLOOKUP($I279,'Institution Evaluation'!$A$55:$F$346,2,0),IFERROR(VLOOKUP($I279,'Privacy Analyst Evaluation'!$A$46:$F$120,2,0),""))</f>
        <v/>
      </c>
      <c r="K279" s="216" t="str">
        <f ca="1">IFERROR(VLOOKUP($I279,'Institution Evaluation'!$A$55:$F$346,3,0),IFERROR(VLOOKUP($I279,'Privacy Analyst Evaluation'!$A$46:$F$120,3,0),""))&amp;""</f>
        <v/>
      </c>
      <c r="L279" s="216" t="str">
        <f ca="1">IFERROR(VLOOKUP($I279,'Institution Evaluation'!$A$55:$F$346,4,0),IFERROR(VLOOKUP($I279,'Privacy Analyst Evaluation'!$A$46:$F$120,4,0),""))&amp;""</f>
        <v/>
      </c>
      <c r="M279" s="216" t="str">
        <f ca="1">IFERROR(VLOOKUP($I279,'Institution Evaluation'!$A$55:$F$346,6,0),IFERROR(VLOOKUP($I279,'Privacy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ht="17">
      <c r="A280" s="216" t="str">
        <f>IFERROR(IF($A279+1&gt;'(backend scoring)'!$T$335,"",$A279+1),"")</f>
        <v/>
      </c>
      <c r="B280" s="216" t="e">
        <f ca="1">_xlfn.XLOOKUP($A280,'(backend scoring)'!$V$2:$V$333,'(backend scoring)'!$A$2:$A$333,"")</f>
        <v>#NAME?</v>
      </c>
      <c r="C280" s="216" t="str">
        <f ca="1">IFERROR(VLOOKUP($B280,'Institution Evaluation'!$A$55:$F$346,2,0),IFERROR(VLOOKUP($B280,'Privacy Analyst Evaluation'!$A$46:$F$120,2,0),""))&amp;""</f>
        <v/>
      </c>
      <c r="D280" s="216" t="str">
        <f ca="1">IFERROR(VLOOKUP($B280,'Institution Evaluation'!$A$55:$F$346,3,0),IFERROR(VLOOKUP($B280,'Privacy Analyst Evaluation'!$A$46:$F$120,3,0),""))&amp;""</f>
        <v/>
      </c>
      <c r="E280" s="216" t="str">
        <f ca="1">IFERROR(VLOOKUP($B280,'Institution Evaluation'!$A$55:$F$346,4,0),IFERROR(VLOOKUP($B280,'Privacy Analyst Evaluation'!$A$46:$F$120,4,0),""))&amp;""</f>
        <v/>
      </c>
      <c r="F280" s="216" t="str">
        <f ca="1">IFERROR(VLOOKUP($B280,'Institution Evaluation'!$A$55:$F$346,6,0),IFERROR(VLOOKUP($B280,'Privacy Analyst Evaluation'!$A$46:$F$120,6,0),""))&amp;""</f>
        <v/>
      </c>
      <c r="G280" s="217"/>
      <c r="H280" s="216" t="str">
        <f>IFERROR(IF($H279+1&gt;'(backend scoring)'!$Q$335,"",$H279+1),"")</f>
        <v/>
      </c>
      <c r="I280" s="216" t="e">
        <f ca="1">_xlfn.XLOOKUP($H280,'(backend scoring)'!$S$2:$S$333,'(backend scoring)'!$A$2:$A$333,"")</f>
        <v>#NAME?</v>
      </c>
      <c r="J280" s="216" t="str">
        <f ca="1">IFERROR(VLOOKUP($I280,'Institution Evaluation'!$A$55:$F$346,2,0),IFERROR(VLOOKUP($I280,'Privacy Analyst Evaluation'!$A$46:$F$120,2,0),""))</f>
        <v/>
      </c>
      <c r="K280" s="216" t="str">
        <f ca="1">IFERROR(VLOOKUP($I280,'Institution Evaluation'!$A$55:$F$346,3,0),IFERROR(VLOOKUP($I280,'Privacy Analyst Evaluation'!$A$46:$F$120,3,0),""))&amp;""</f>
        <v/>
      </c>
      <c r="L280" s="216" t="str">
        <f ca="1">IFERROR(VLOOKUP($I280,'Institution Evaluation'!$A$55:$F$346,4,0),IFERROR(VLOOKUP($I280,'Privacy Analyst Evaluation'!$A$46:$F$120,4,0),""))&amp;""</f>
        <v/>
      </c>
      <c r="M280" s="216" t="str">
        <f ca="1">IFERROR(VLOOKUP($I280,'Institution Evaluation'!$A$55:$F$346,6,0),IFERROR(VLOOKUP($I280,'Privacy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ht="17">
      <c r="A281" s="216" t="str">
        <f>IFERROR(IF($A280+1&gt;'(backend scoring)'!$T$335,"",$A280+1),"")</f>
        <v/>
      </c>
      <c r="B281" s="216" t="e">
        <f ca="1">_xlfn.XLOOKUP($A281,'(backend scoring)'!$V$2:$V$333,'(backend scoring)'!$A$2:$A$333,"")</f>
        <v>#NAME?</v>
      </c>
      <c r="C281" s="216" t="str">
        <f ca="1">IFERROR(VLOOKUP($B281,'Institution Evaluation'!$A$55:$F$346,2,0),IFERROR(VLOOKUP($B281,'Privacy Analyst Evaluation'!$A$46:$F$120,2,0),""))&amp;""</f>
        <v/>
      </c>
      <c r="D281" s="216" t="str">
        <f ca="1">IFERROR(VLOOKUP($B281,'Institution Evaluation'!$A$55:$F$346,3,0),IFERROR(VLOOKUP($B281,'Privacy Analyst Evaluation'!$A$46:$F$120,3,0),""))&amp;""</f>
        <v/>
      </c>
      <c r="E281" s="216" t="str">
        <f ca="1">IFERROR(VLOOKUP($B281,'Institution Evaluation'!$A$55:$F$346,4,0),IFERROR(VLOOKUP($B281,'Privacy Analyst Evaluation'!$A$46:$F$120,4,0),""))&amp;""</f>
        <v/>
      </c>
      <c r="F281" s="216" t="str">
        <f ca="1">IFERROR(VLOOKUP($B281,'Institution Evaluation'!$A$55:$F$346,6,0),IFERROR(VLOOKUP($B281,'Privacy Analyst Evaluation'!$A$46:$F$120,6,0),""))&amp;""</f>
        <v/>
      </c>
      <c r="G281" s="217"/>
      <c r="H281" s="216" t="str">
        <f>IFERROR(IF($H280+1&gt;'(backend scoring)'!$Q$335,"",$H280+1),"")</f>
        <v/>
      </c>
      <c r="I281" s="216" t="e">
        <f ca="1">_xlfn.XLOOKUP($H281,'(backend scoring)'!$S$2:$S$333,'(backend scoring)'!$A$2:$A$333,"")</f>
        <v>#NAME?</v>
      </c>
      <c r="J281" s="216" t="str">
        <f ca="1">IFERROR(VLOOKUP($I281,'Institution Evaluation'!$A$55:$F$346,2,0),IFERROR(VLOOKUP($I281,'Privacy Analyst Evaluation'!$A$46:$F$120,2,0),""))</f>
        <v/>
      </c>
      <c r="K281" s="216" t="str">
        <f ca="1">IFERROR(VLOOKUP($I281,'Institution Evaluation'!$A$55:$F$346,3,0),IFERROR(VLOOKUP($I281,'Privacy Analyst Evaluation'!$A$46:$F$120,3,0),""))&amp;""</f>
        <v/>
      </c>
      <c r="L281" s="216" t="str">
        <f ca="1">IFERROR(VLOOKUP($I281,'Institution Evaluation'!$A$55:$F$346,4,0),IFERROR(VLOOKUP($I281,'Privacy Analyst Evaluation'!$A$46:$F$120,4,0),""))&amp;""</f>
        <v/>
      </c>
      <c r="M281" s="216" t="str">
        <f ca="1">IFERROR(VLOOKUP($I281,'Institution Evaluation'!$A$55:$F$346,6,0),IFERROR(VLOOKUP($I281,'Privacy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ht="17">
      <c r="A282" s="216" t="str">
        <f>IFERROR(IF($A281+1&gt;'(backend scoring)'!$T$335,"",$A281+1),"")</f>
        <v/>
      </c>
      <c r="B282" s="216" t="e">
        <f ca="1">_xlfn.XLOOKUP($A282,'(backend scoring)'!$V$2:$V$333,'(backend scoring)'!$A$2:$A$333,"")</f>
        <v>#NAME?</v>
      </c>
      <c r="C282" s="216" t="str">
        <f ca="1">IFERROR(VLOOKUP($B282,'Institution Evaluation'!$A$55:$F$346,2,0),IFERROR(VLOOKUP($B282,'Privacy Analyst Evaluation'!$A$46:$F$120,2,0),""))&amp;""</f>
        <v/>
      </c>
      <c r="D282" s="216" t="str">
        <f ca="1">IFERROR(VLOOKUP($B282,'Institution Evaluation'!$A$55:$F$346,3,0),IFERROR(VLOOKUP($B282,'Privacy Analyst Evaluation'!$A$46:$F$120,3,0),""))&amp;""</f>
        <v/>
      </c>
      <c r="E282" s="216" t="str">
        <f ca="1">IFERROR(VLOOKUP($B282,'Institution Evaluation'!$A$55:$F$346,4,0),IFERROR(VLOOKUP($B282,'Privacy Analyst Evaluation'!$A$46:$F$120,4,0),""))&amp;""</f>
        <v/>
      </c>
      <c r="F282" s="216" t="str">
        <f ca="1">IFERROR(VLOOKUP($B282,'Institution Evaluation'!$A$55:$F$346,6,0),IFERROR(VLOOKUP($B282,'Privacy Analyst Evaluation'!$A$46:$F$120,6,0),""))&amp;""</f>
        <v/>
      </c>
      <c r="G282" s="217"/>
      <c r="H282" s="216" t="str">
        <f>IFERROR(IF($H281+1&gt;'(backend scoring)'!$Q$335,"",$H281+1),"")</f>
        <v/>
      </c>
      <c r="I282" s="216" t="e">
        <f ca="1">_xlfn.XLOOKUP($H282,'(backend scoring)'!$S$2:$S$333,'(backend scoring)'!$A$2:$A$333,"")</f>
        <v>#NAME?</v>
      </c>
      <c r="J282" s="216" t="str">
        <f ca="1">IFERROR(VLOOKUP($I282,'Institution Evaluation'!$A$55:$F$346,2,0),IFERROR(VLOOKUP($I282,'Privacy Analyst Evaluation'!$A$46:$F$120,2,0),""))</f>
        <v/>
      </c>
      <c r="K282" s="216" t="str">
        <f ca="1">IFERROR(VLOOKUP($I282,'Institution Evaluation'!$A$55:$F$346,3,0),IFERROR(VLOOKUP($I282,'Privacy Analyst Evaluation'!$A$46:$F$120,3,0),""))&amp;""</f>
        <v/>
      </c>
      <c r="L282" s="216" t="str">
        <f ca="1">IFERROR(VLOOKUP($I282,'Institution Evaluation'!$A$55:$F$346,4,0),IFERROR(VLOOKUP($I282,'Privacy Analyst Evaluation'!$A$46:$F$120,4,0),""))&amp;""</f>
        <v/>
      </c>
      <c r="M282" s="216" t="str">
        <f ca="1">IFERROR(VLOOKUP($I282,'Institution Evaluation'!$A$55:$F$346,6,0),IFERROR(VLOOKUP($I282,'Privacy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ht="17">
      <c r="A283" s="216" t="str">
        <f>IFERROR(IF($A282+1&gt;'(backend scoring)'!$T$335,"",$A282+1),"")</f>
        <v/>
      </c>
      <c r="B283" s="216" t="e">
        <f ca="1">_xlfn.XLOOKUP($A283,'(backend scoring)'!$V$2:$V$333,'(backend scoring)'!$A$2:$A$333,"")</f>
        <v>#NAME?</v>
      </c>
      <c r="C283" s="216" t="str">
        <f ca="1">IFERROR(VLOOKUP($B283,'Institution Evaluation'!$A$55:$F$346,2,0),IFERROR(VLOOKUP($B283,'Privacy Analyst Evaluation'!$A$46:$F$120,2,0),""))&amp;""</f>
        <v/>
      </c>
      <c r="D283" s="216" t="str">
        <f ca="1">IFERROR(VLOOKUP($B283,'Institution Evaluation'!$A$55:$F$346,3,0),IFERROR(VLOOKUP($B283,'Privacy Analyst Evaluation'!$A$46:$F$120,3,0),""))&amp;""</f>
        <v/>
      </c>
      <c r="E283" s="216" t="str">
        <f ca="1">IFERROR(VLOOKUP($B283,'Institution Evaluation'!$A$55:$F$346,4,0),IFERROR(VLOOKUP($B283,'Privacy Analyst Evaluation'!$A$46:$F$120,4,0),""))&amp;""</f>
        <v/>
      </c>
      <c r="F283" s="216" t="str">
        <f ca="1">IFERROR(VLOOKUP($B283,'Institution Evaluation'!$A$55:$F$346,6,0),IFERROR(VLOOKUP($B283,'Privacy Analyst Evaluation'!$A$46:$F$120,6,0),""))&amp;""</f>
        <v/>
      </c>
      <c r="G283" s="217"/>
      <c r="H283" s="216" t="str">
        <f>IFERROR(IF($H282+1&gt;'(backend scoring)'!$Q$335,"",$H282+1),"")</f>
        <v/>
      </c>
      <c r="I283" s="216" t="e">
        <f ca="1">_xlfn.XLOOKUP($H283,'(backend scoring)'!$S$2:$S$333,'(backend scoring)'!$A$2:$A$333,"")</f>
        <v>#NAME?</v>
      </c>
      <c r="J283" s="216" t="str">
        <f ca="1">IFERROR(VLOOKUP($I283,'Institution Evaluation'!$A$55:$F$346,2,0),IFERROR(VLOOKUP($I283,'Privacy Analyst Evaluation'!$A$46:$F$120,2,0),""))</f>
        <v/>
      </c>
      <c r="K283" s="216" t="str">
        <f ca="1">IFERROR(VLOOKUP($I283,'Institution Evaluation'!$A$55:$F$346,3,0),IFERROR(VLOOKUP($I283,'Privacy Analyst Evaluation'!$A$46:$F$120,3,0),""))&amp;""</f>
        <v/>
      </c>
      <c r="L283" s="216" t="str">
        <f ca="1">IFERROR(VLOOKUP($I283,'Institution Evaluation'!$A$55:$F$346,4,0),IFERROR(VLOOKUP($I283,'Privacy Analyst Evaluation'!$A$46:$F$120,4,0),""))&amp;""</f>
        <v/>
      </c>
      <c r="M283" s="216" t="str">
        <f ca="1">IFERROR(VLOOKUP($I283,'Institution Evaluation'!$A$55:$F$346,6,0),IFERROR(VLOOKUP($I283,'Privacy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ht="17">
      <c r="A284" s="216" t="str">
        <f>IFERROR(IF($A283+1&gt;'(backend scoring)'!$T$335,"",$A283+1),"")</f>
        <v/>
      </c>
      <c r="B284" s="216" t="e">
        <f ca="1">_xlfn.XLOOKUP($A284,'(backend scoring)'!$V$2:$V$333,'(backend scoring)'!$A$2:$A$333,"")</f>
        <v>#NAME?</v>
      </c>
      <c r="C284" s="216" t="str">
        <f ca="1">IFERROR(VLOOKUP($B284,'Institution Evaluation'!$A$55:$F$346,2,0),IFERROR(VLOOKUP($B284,'Privacy Analyst Evaluation'!$A$46:$F$120,2,0),""))&amp;""</f>
        <v/>
      </c>
      <c r="D284" s="216" t="str">
        <f ca="1">IFERROR(VLOOKUP($B284,'Institution Evaluation'!$A$55:$F$346,3,0),IFERROR(VLOOKUP($B284,'Privacy Analyst Evaluation'!$A$46:$F$120,3,0),""))&amp;""</f>
        <v/>
      </c>
      <c r="E284" s="216" t="str">
        <f ca="1">IFERROR(VLOOKUP($B284,'Institution Evaluation'!$A$55:$F$346,4,0),IFERROR(VLOOKUP($B284,'Privacy Analyst Evaluation'!$A$46:$F$120,4,0),""))&amp;""</f>
        <v/>
      </c>
      <c r="F284" s="216" t="str">
        <f ca="1">IFERROR(VLOOKUP($B284,'Institution Evaluation'!$A$55:$F$346,6,0),IFERROR(VLOOKUP($B284,'Privacy Analyst Evaluation'!$A$46:$F$120,6,0),""))&amp;""</f>
        <v/>
      </c>
      <c r="G284" s="217"/>
      <c r="H284" s="216" t="str">
        <f>IFERROR(IF($H283+1&gt;'(backend scoring)'!$Q$335,"",$H283+1),"")</f>
        <v/>
      </c>
      <c r="I284" s="216" t="e">
        <f ca="1">_xlfn.XLOOKUP($H284,'(backend scoring)'!$S$2:$S$333,'(backend scoring)'!$A$2:$A$333,"")</f>
        <v>#NAME?</v>
      </c>
      <c r="J284" s="216" t="str">
        <f ca="1">IFERROR(VLOOKUP($I284,'Institution Evaluation'!$A$55:$F$346,2,0),IFERROR(VLOOKUP($I284,'Privacy Analyst Evaluation'!$A$46:$F$120,2,0),""))</f>
        <v/>
      </c>
      <c r="K284" s="216" t="str">
        <f ca="1">IFERROR(VLOOKUP($I284,'Institution Evaluation'!$A$55:$F$346,3,0),IFERROR(VLOOKUP($I284,'Privacy Analyst Evaluation'!$A$46:$F$120,3,0),""))&amp;""</f>
        <v/>
      </c>
      <c r="L284" s="216" t="str">
        <f ca="1">IFERROR(VLOOKUP($I284,'Institution Evaluation'!$A$55:$F$346,4,0),IFERROR(VLOOKUP($I284,'Privacy Analyst Evaluation'!$A$46:$F$120,4,0),""))&amp;""</f>
        <v/>
      </c>
      <c r="M284" s="216" t="str">
        <f ca="1">IFERROR(VLOOKUP($I284,'Institution Evaluation'!$A$55:$F$346,6,0),IFERROR(VLOOKUP($I284,'Privacy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ht="17">
      <c r="A285" s="216" t="str">
        <f>IFERROR(IF($A284+1&gt;'(backend scoring)'!$T$335,"",$A284+1),"")</f>
        <v/>
      </c>
      <c r="B285" s="216" t="e">
        <f ca="1">_xlfn.XLOOKUP($A285,'(backend scoring)'!$V$2:$V$333,'(backend scoring)'!$A$2:$A$333,"")</f>
        <v>#NAME?</v>
      </c>
      <c r="C285" s="216" t="str">
        <f ca="1">IFERROR(VLOOKUP($B285,'Institution Evaluation'!$A$55:$F$346,2,0),IFERROR(VLOOKUP($B285,'Privacy Analyst Evaluation'!$A$46:$F$120,2,0),""))&amp;""</f>
        <v/>
      </c>
      <c r="D285" s="216" t="str">
        <f ca="1">IFERROR(VLOOKUP($B285,'Institution Evaluation'!$A$55:$F$346,3,0),IFERROR(VLOOKUP($B285,'Privacy Analyst Evaluation'!$A$46:$F$120,3,0),""))&amp;""</f>
        <v/>
      </c>
      <c r="E285" s="216" t="str">
        <f ca="1">IFERROR(VLOOKUP($B285,'Institution Evaluation'!$A$55:$F$346,4,0),IFERROR(VLOOKUP($B285,'Privacy Analyst Evaluation'!$A$46:$F$120,4,0),""))&amp;""</f>
        <v/>
      </c>
      <c r="F285" s="216" t="str">
        <f ca="1">IFERROR(VLOOKUP($B285,'Institution Evaluation'!$A$55:$F$346,6,0),IFERROR(VLOOKUP($B285,'Privacy Analyst Evaluation'!$A$46:$F$120,6,0),""))&amp;""</f>
        <v/>
      </c>
      <c r="G285" s="217"/>
      <c r="H285" s="216" t="str">
        <f>IFERROR(IF($H284+1&gt;'(backend scoring)'!$Q$335,"",$H284+1),"")</f>
        <v/>
      </c>
      <c r="I285" s="216" t="e">
        <f ca="1">_xlfn.XLOOKUP($H285,'(backend scoring)'!$S$2:$S$333,'(backend scoring)'!$A$2:$A$333,"")</f>
        <v>#NAME?</v>
      </c>
      <c r="J285" s="216" t="str">
        <f ca="1">IFERROR(VLOOKUP($I285,'Institution Evaluation'!$A$55:$F$346,2,0),IFERROR(VLOOKUP($I285,'Privacy Analyst Evaluation'!$A$46:$F$120,2,0),""))</f>
        <v/>
      </c>
      <c r="K285" s="216" t="str">
        <f ca="1">IFERROR(VLOOKUP($I285,'Institution Evaluation'!$A$55:$F$346,3,0),IFERROR(VLOOKUP($I285,'Privacy Analyst Evaluation'!$A$46:$F$120,3,0),""))&amp;""</f>
        <v/>
      </c>
      <c r="L285" s="216" t="str">
        <f ca="1">IFERROR(VLOOKUP($I285,'Institution Evaluation'!$A$55:$F$346,4,0),IFERROR(VLOOKUP($I285,'Privacy Analyst Evaluation'!$A$46:$F$120,4,0),""))&amp;""</f>
        <v/>
      </c>
      <c r="M285" s="216" t="str">
        <f ca="1">IFERROR(VLOOKUP($I285,'Institution Evaluation'!$A$55:$F$346,6,0),IFERROR(VLOOKUP($I285,'Privacy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ht="17">
      <c r="A286" s="216" t="str">
        <f>IFERROR(IF($A285+1&gt;'(backend scoring)'!$T$335,"",$A285+1),"")</f>
        <v/>
      </c>
      <c r="B286" s="216" t="e">
        <f ca="1">_xlfn.XLOOKUP($A286,'(backend scoring)'!$V$2:$V$333,'(backend scoring)'!$A$2:$A$333,"")</f>
        <v>#NAME?</v>
      </c>
      <c r="C286" s="216" t="str">
        <f ca="1">IFERROR(VLOOKUP($B286,'Institution Evaluation'!$A$55:$F$346,2,0),IFERROR(VLOOKUP($B286,'Privacy Analyst Evaluation'!$A$46:$F$120,2,0),""))&amp;""</f>
        <v/>
      </c>
      <c r="D286" s="216" t="str">
        <f ca="1">IFERROR(VLOOKUP($B286,'Institution Evaluation'!$A$55:$F$346,3,0),IFERROR(VLOOKUP($B286,'Privacy Analyst Evaluation'!$A$46:$F$120,3,0),""))&amp;""</f>
        <v/>
      </c>
      <c r="E286" s="216" t="str">
        <f ca="1">IFERROR(VLOOKUP($B286,'Institution Evaluation'!$A$55:$F$346,4,0),IFERROR(VLOOKUP($B286,'Privacy Analyst Evaluation'!$A$46:$F$120,4,0),""))&amp;""</f>
        <v/>
      </c>
      <c r="F286" s="216" t="str">
        <f ca="1">IFERROR(VLOOKUP($B286,'Institution Evaluation'!$A$55:$F$346,6,0),IFERROR(VLOOKUP($B286,'Privacy Analyst Evaluation'!$A$46:$F$120,6,0),""))&amp;""</f>
        <v/>
      </c>
      <c r="G286" s="217"/>
      <c r="H286" s="216" t="str">
        <f>IFERROR(IF($H285+1&gt;'(backend scoring)'!$Q$335,"",$H285+1),"")</f>
        <v/>
      </c>
      <c r="I286" s="216" t="e">
        <f ca="1">_xlfn.XLOOKUP($H286,'(backend scoring)'!$S$2:$S$333,'(backend scoring)'!$A$2:$A$333,"")</f>
        <v>#NAME?</v>
      </c>
      <c r="J286" s="216" t="str">
        <f ca="1">IFERROR(VLOOKUP($I286,'Institution Evaluation'!$A$55:$F$346,2,0),IFERROR(VLOOKUP($I286,'Privacy Analyst Evaluation'!$A$46:$F$120,2,0),""))</f>
        <v/>
      </c>
      <c r="K286" s="216" t="str">
        <f ca="1">IFERROR(VLOOKUP($I286,'Institution Evaluation'!$A$55:$F$346,3,0),IFERROR(VLOOKUP($I286,'Privacy Analyst Evaluation'!$A$46:$F$120,3,0),""))&amp;""</f>
        <v/>
      </c>
      <c r="L286" s="216" t="str">
        <f ca="1">IFERROR(VLOOKUP($I286,'Institution Evaluation'!$A$55:$F$346,4,0),IFERROR(VLOOKUP($I286,'Privacy Analyst Evaluation'!$A$46:$F$120,4,0),""))&amp;""</f>
        <v/>
      </c>
      <c r="M286" s="216" t="str">
        <f ca="1">IFERROR(VLOOKUP($I286,'Institution Evaluation'!$A$55:$F$346,6,0),IFERROR(VLOOKUP($I286,'Privacy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ht="17">
      <c r="A287" s="216" t="str">
        <f>IFERROR(IF($A286+1&gt;'(backend scoring)'!$T$335,"",$A286+1),"")</f>
        <v/>
      </c>
      <c r="B287" s="216" t="e">
        <f ca="1">_xlfn.XLOOKUP($A287,'(backend scoring)'!$V$2:$V$333,'(backend scoring)'!$A$2:$A$333,"")</f>
        <v>#NAME?</v>
      </c>
      <c r="C287" s="216" t="str">
        <f ca="1">IFERROR(VLOOKUP($B287,'Institution Evaluation'!$A$55:$F$346,2,0),IFERROR(VLOOKUP($B287,'Privacy Analyst Evaluation'!$A$46:$F$120,2,0),""))&amp;""</f>
        <v/>
      </c>
      <c r="D287" s="216" t="str">
        <f ca="1">IFERROR(VLOOKUP($B287,'Institution Evaluation'!$A$55:$F$346,3,0),IFERROR(VLOOKUP($B287,'Privacy Analyst Evaluation'!$A$46:$F$120,3,0),""))&amp;""</f>
        <v/>
      </c>
      <c r="E287" s="216" t="str">
        <f ca="1">IFERROR(VLOOKUP($B287,'Institution Evaluation'!$A$55:$F$346,4,0),IFERROR(VLOOKUP($B287,'Privacy Analyst Evaluation'!$A$46:$F$120,4,0),""))&amp;""</f>
        <v/>
      </c>
      <c r="F287" s="216" t="str">
        <f ca="1">IFERROR(VLOOKUP($B287,'Institution Evaluation'!$A$55:$F$346,6,0),IFERROR(VLOOKUP($B287,'Privacy Analyst Evaluation'!$A$46:$F$120,6,0),""))&amp;""</f>
        <v/>
      </c>
      <c r="G287" s="217"/>
      <c r="H287" s="216" t="str">
        <f>IFERROR(IF($H286+1&gt;'(backend scoring)'!$Q$335,"",$H286+1),"")</f>
        <v/>
      </c>
      <c r="I287" s="216" t="e">
        <f ca="1">_xlfn.XLOOKUP($H287,'(backend scoring)'!$S$2:$S$333,'(backend scoring)'!$A$2:$A$333,"")</f>
        <v>#NAME?</v>
      </c>
      <c r="J287" s="216" t="str">
        <f ca="1">IFERROR(VLOOKUP($I287,'Institution Evaluation'!$A$55:$F$346,2,0),IFERROR(VLOOKUP($I287,'Privacy Analyst Evaluation'!$A$46:$F$120,2,0),""))</f>
        <v/>
      </c>
      <c r="K287" s="216" t="str">
        <f ca="1">IFERROR(VLOOKUP($I287,'Institution Evaluation'!$A$55:$F$346,3,0),IFERROR(VLOOKUP($I287,'Privacy Analyst Evaluation'!$A$46:$F$120,3,0),""))&amp;""</f>
        <v/>
      </c>
      <c r="L287" s="216" t="str">
        <f ca="1">IFERROR(VLOOKUP($I287,'Institution Evaluation'!$A$55:$F$346,4,0),IFERROR(VLOOKUP($I287,'Privacy Analyst Evaluation'!$A$46:$F$120,4,0),""))&amp;""</f>
        <v/>
      </c>
      <c r="M287" s="216" t="str">
        <f ca="1">IFERROR(VLOOKUP($I287,'Institution Evaluation'!$A$55:$F$346,6,0),IFERROR(VLOOKUP($I287,'Privacy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ht="17">
      <c r="A288" s="216" t="str">
        <f>IFERROR(IF($A287+1&gt;'(backend scoring)'!$T$335,"",$A287+1),"")</f>
        <v/>
      </c>
      <c r="B288" s="216" t="e">
        <f ca="1">_xlfn.XLOOKUP($A288,'(backend scoring)'!$V$2:$V$333,'(backend scoring)'!$A$2:$A$333,"")</f>
        <v>#NAME?</v>
      </c>
      <c r="C288" s="216" t="str">
        <f ca="1">IFERROR(VLOOKUP($B288,'Institution Evaluation'!$A$55:$F$346,2,0),IFERROR(VLOOKUP($B288,'Privacy Analyst Evaluation'!$A$46:$F$120,2,0),""))&amp;""</f>
        <v/>
      </c>
      <c r="D288" s="216" t="str">
        <f ca="1">IFERROR(VLOOKUP($B288,'Institution Evaluation'!$A$55:$F$346,3,0),IFERROR(VLOOKUP($B288,'Privacy Analyst Evaluation'!$A$46:$F$120,3,0),""))&amp;""</f>
        <v/>
      </c>
      <c r="E288" s="216" t="str">
        <f ca="1">IFERROR(VLOOKUP($B288,'Institution Evaluation'!$A$55:$F$346,4,0),IFERROR(VLOOKUP($B288,'Privacy Analyst Evaluation'!$A$46:$F$120,4,0),""))&amp;""</f>
        <v/>
      </c>
      <c r="F288" s="216" t="str">
        <f ca="1">IFERROR(VLOOKUP($B288,'Institution Evaluation'!$A$55:$F$346,6,0),IFERROR(VLOOKUP($B288,'Privacy Analyst Evaluation'!$A$46:$F$120,6,0),""))&amp;""</f>
        <v/>
      </c>
      <c r="G288" s="217"/>
      <c r="H288" s="216" t="str">
        <f>IFERROR(IF($H287+1&gt;'(backend scoring)'!$Q$335,"",$H287+1),"")</f>
        <v/>
      </c>
      <c r="I288" s="216" t="e">
        <f ca="1">_xlfn.XLOOKUP($H288,'(backend scoring)'!$S$2:$S$333,'(backend scoring)'!$A$2:$A$333,"")</f>
        <v>#NAME?</v>
      </c>
      <c r="J288" s="216" t="str">
        <f ca="1">IFERROR(VLOOKUP($I288,'Institution Evaluation'!$A$55:$F$346,2,0),IFERROR(VLOOKUP($I288,'Privacy Analyst Evaluation'!$A$46:$F$120,2,0),""))</f>
        <v/>
      </c>
      <c r="K288" s="216" t="str">
        <f ca="1">IFERROR(VLOOKUP($I288,'Institution Evaluation'!$A$55:$F$346,3,0),IFERROR(VLOOKUP($I288,'Privacy Analyst Evaluation'!$A$46:$F$120,3,0),""))&amp;""</f>
        <v/>
      </c>
      <c r="L288" s="216" t="str">
        <f ca="1">IFERROR(VLOOKUP($I288,'Institution Evaluation'!$A$55:$F$346,4,0),IFERROR(VLOOKUP($I288,'Privacy Analyst Evaluation'!$A$46:$F$120,4,0),""))&amp;""</f>
        <v/>
      </c>
      <c r="M288" s="216" t="str">
        <f ca="1">IFERROR(VLOOKUP($I288,'Institution Evaluation'!$A$55:$F$346,6,0),IFERROR(VLOOKUP($I288,'Privacy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ht="17">
      <c r="A289" s="216" t="str">
        <f>IFERROR(IF($A288+1&gt;'(backend scoring)'!$T$335,"",$A288+1),"")</f>
        <v/>
      </c>
      <c r="B289" s="216" t="e">
        <f ca="1">_xlfn.XLOOKUP($A289,'(backend scoring)'!$V$2:$V$333,'(backend scoring)'!$A$2:$A$333,"")</f>
        <v>#NAME?</v>
      </c>
      <c r="C289" s="216" t="str">
        <f ca="1">IFERROR(VLOOKUP($B289,'Institution Evaluation'!$A$55:$F$346,2,0),IFERROR(VLOOKUP($B289,'Privacy Analyst Evaluation'!$A$46:$F$120,2,0),""))&amp;""</f>
        <v/>
      </c>
      <c r="D289" s="216" t="str">
        <f ca="1">IFERROR(VLOOKUP($B289,'Institution Evaluation'!$A$55:$F$346,3,0),IFERROR(VLOOKUP($B289,'Privacy Analyst Evaluation'!$A$46:$F$120,3,0),""))&amp;""</f>
        <v/>
      </c>
      <c r="E289" s="216" t="str">
        <f ca="1">IFERROR(VLOOKUP($B289,'Institution Evaluation'!$A$55:$F$346,4,0),IFERROR(VLOOKUP($B289,'Privacy Analyst Evaluation'!$A$46:$F$120,4,0),""))&amp;""</f>
        <v/>
      </c>
      <c r="F289" s="216" t="str">
        <f ca="1">IFERROR(VLOOKUP($B289,'Institution Evaluation'!$A$55:$F$346,6,0),IFERROR(VLOOKUP($B289,'Privacy Analyst Evaluation'!$A$46:$F$120,6,0),""))&amp;""</f>
        <v/>
      </c>
      <c r="G289" s="217"/>
      <c r="H289" s="216" t="str">
        <f>IFERROR(IF($H288+1&gt;'(backend scoring)'!$Q$335,"",$H288+1),"")</f>
        <v/>
      </c>
      <c r="I289" s="216" t="e">
        <f ca="1">_xlfn.XLOOKUP($H289,'(backend scoring)'!$S$2:$S$333,'(backend scoring)'!$A$2:$A$333,"")</f>
        <v>#NAME?</v>
      </c>
      <c r="J289" s="216" t="str">
        <f ca="1">IFERROR(VLOOKUP($I289,'Institution Evaluation'!$A$55:$F$346,2,0),IFERROR(VLOOKUP($I289,'Privacy Analyst Evaluation'!$A$46:$F$120,2,0),""))</f>
        <v/>
      </c>
      <c r="K289" s="216" t="str">
        <f ca="1">IFERROR(VLOOKUP($I289,'Institution Evaluation'!$A$55:$F$346,3,0),IFERROR(VLOOKUP($I289,'Privacy Analyst Evaluation'!$A$46:$F$120,3,0),""))&amp;""</f>
        <v/>
      </c>
      <c r="L289" s="216" t="str">
        <f ca="1">IFERROR(VLOOKUP($I289,'Institution Evaluation'!$A$55:$F$346,4,0),IFERROR(VLOOKUP($I289,'Privacy Analyst Evaluation'!$A$46:$F$120,4,0),""))&amp;""</f>
        <v/>
      </c>
      <c r="M289" s="216" t="str">
        <f ca="1">IFERROR(VLOOKUP($I289,'Institution Evaluation'!$A$55:$F$346,6,0),IFERROR(VLOOKUP($I289,'Privacy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ht="17">
      <c r="A290" s="216" t="str">
        <f>IFERROR(IF($A289+1&gt;'(backend scoring)'!$T$335,"",$A289+1),"")</f>
        <v/>
      </c>
      <c r="B290" s="216" t="e">
        <f ca="1">_xlfn.XLOOKUP($A290,'(backend scoring)'!$V$2:$V$333,'(backend scoring)'!$A$2:$A$333,"")</f>
        <v>#NAME?</v>
      </c>
      <c r="C290" s="216" t="str">
        <f ca="1">IFERROR(VLOOKUP($B290,'Institution Evaluation'!$A$55:$F$346,2,0),IFERROR(VLOOKUP($B290,'Privacy Analyst Evaluation'!$A$46:$F$120,2,0),""))&amp;""</f>
        <v/>
      </c>
      <c r="D290" s="216" t="str">
        <f ca="1">IFERROR(VLOOKUP($B290,'Institution Evaluation'!$A$55:$F$346,3,0),IFERROR(VLOOKUP($B290,'Privacy Analyst Evaluation'!$A$46:$F$120,3,0),""))&amp;""</f>
        <v/>
      </c>
      <c r="E290" s="216" t="str">
        <f ca="1">IFERROR(VLOOKUP($B290,'Institution Evaluation'!$A$55:$F$346,4,0),IFERROR(VLOOKUP($B290,'Privacy Analyst Evaluation'!$A$46:$F$120,4,0),""))&amp;""</f>
        <v/>
      </c>
      <c r="F290" s="216" t="str">
        <f ca="1">IFERROR(VLOOKUP($B290,'Institution Evaluation'!$A$55:$F$346,6,0),IFERROR(VLOOKUP($B290,'Privacy Analyst Evaluation'!$A$46:$F$120,6,0),""))&amp;""</f>
        <v/>
      </c>
      <c r="G290" s="217"/>
      <c r="H290" s="216" t="str">
        <f>IFERROR(IF($H289+1&gt;'(backend scoring)'!$Q$335,"",$H289+1),"")</f>
        <v/>
      </c>
      <c r="I290" s="216" t="e">
        <f ca="1">_xlfn.XLOOKUP($H290,'(backend scoring)'!$S$2:$S$333,'(backend scoring)'!$A$2:$A$333,"")</f>
        <v>#NAME?</v>
      </c>
      <c r="J290" s="216" t="str">
        <f ca="1">IFERROR(VLOOKUP($I290,'Institution Evaluation'!$A$55:$F$346,2,0),IFERROR(VLOOKUP($I290,'Privacy Analyst Evaluation'!$A$46:$F$120,2,0),""))</f>
        <v/>
      </c>
      <c r="K290" s="216" t="str">
        <f ca="1">IFERROR(VLOOKUP($I290,'Institution Evaluation'!$A$55:$F$346,3,0),IFERROR(VLOOKUP($I290,'Privacy Analyst Evaluation'!$A$46:$F$120,3,0),""))&amp;""</f>
        <v/>
      </c>
      <c r="L290" s="216" t="str">
        <f ca="1">IFERROR(VLOOKUP($I290,'Institution Evaluation'!$A$55:$F$346,4,0),IFERROR(VLOOKUP($I290,'Privacy Analyst Evaluation'!$A$46:$F$120,4,0),""))&amp;""</f>
        <v/>
      </c>
      <c r="M290" s="216" t="str">
        <f ca="1">IFERROR(VLOOKUP($I290,'Institution Evaluation'!$A$55:$F$346,6,0),IFERROR(VLOOKUP($I290,'Privacy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ht="17">
      <c r="A291" s="216" t="str">
        <f>IFERROR(IF($A290+1&gt;'(backend scoring)'!$T$335,"",$A290+1),"")</f>
        <v/>
      </c>
      <c r="B291" s="216" t="e">
        <f ca="1">_xlfn.XLOOKUP($A291,'(backend scoring)'!$V$2:$V$333,'(backend scoring)'!$A$2:$A$333,"")</f>
        <v>#NAME?</v>
      </c>
      <c r="C291" s="216" t="str">
        <f ca="1">IFERROR(VLOOKUP($B291,'Institution Evaluation'!$A$55:$F$346,2,0),IFERROR(VLOOKUP($B291,'Privacy Analyst Evaluation'!$A$46:$F$120,2,0),""))&amp;""</f>
        <v/>
      </c>
      <c r="D291" s="216" t="str">
        <f ca="1">IFERROR(VLOOKUP($B291,'Institution Evaluation'!$A$55:$F$346,3,0),IFERROR(VLOOKUP($B291,'Privacy Analyst Evaluation'!$A$46:$F$120,3,0),""))&amp;""</f>
        <v/>
      </c>
      <c r="E291" s="216" t="str">
        <f ca="1">IFERROR(VLOOKUP($B291,'Institution Evaluation'!$A$55:$F$346,4,0),IFERROR(VLOOKUP($B291,'Privacy Analyst Evaluation'!$A$46:$F$120,4,0),""))&amp;""</f>
        <v/>
      </c>
      <c r="F291" s="216" t="str">
        <f ca="1">IFERROR(VLOOKUP($B291,'Institution Evaluation'!$A$55:$F$346,6,0),IFERROR(VLOOKUP($B291,'Privacy Analyst Evaluation'!$A$46:$F$120,6,0),""))&amp;""</f>
        <v/>
      </c>
      <c r="G291" s="217"/>
      <c r="H291" s="216" t="str">
        <f>IFERROR(IF($H290+1&gt;'(backend scoring)'!$Q$335,"",$H290+1),"")</f>
        <v/>
      </c>
      <c r="I291" s="216" t="e">
        <f ca="1">_xlfn.XLOOKUP($H291,'(backend scoring)'!$S$2:$S$333,'(backend scoring)'!$A$2:$A$333,"")</f>
        <v>#NAME?</v>
      </c>
      <c r="J291" s="216" t="str">
        <f ca="1">IFERROR(VLOOKUP($I291,'Institution Evaluation'!$A$55:$F$346,2,0),IFERROR(VLOOKUP($I291,'Privacy Analyst Evaluation'!$A$46:$F$120,2,0),""))</f>
        <v/>
      </c>
      <c r="K291" s="216" t="str">
        <f ca="1">IFERROR(VLOOKUP($I291,'Institution Evaluation'!$A$55:$F$346,3,0),IFERROR(VLOOKUP($I291,'Privacy Analyst Evaluation'!$A$46:$F$120,3,0),""))&amp;""</f>
        <v/>
      </c>
      <c r="L291" s="216" t="str">
        <f ca="1">IFERROR(VLOOKUP($I291,'Institution Evaluation'!$A$55:$F$346,4,0),IFERROR(VLOOKUP($I291,'Privacy Analyst Evaluation'!$A$46:$F$120,4,0),""))&amp;""</f>
        <v/>
      </c>
      <c r="M291" s="216" t="str">
        <f ca="1">IFERROR(VLOOKUP($I291,'Institution Evaluation'!$A$55:$F$346,6,0),IFERROR(VLOOKUP($I291,'Privacy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ht="17">
      <c r="A292" s="216" t="str">
        <f>IFERROR(IF($A291+1&gt;'(backend scoring)'!$T$335,"",$A291+1),"")</f>
        <v/>
      </c>
      <c r="B292" s="216" t="e">
        <f ca="1">_xlfn.XLOOKUP($A292,'(backend scoring)'!$V$2:$V$333,'(backend scoring)'!$A$2:$A$333,"")</f>
        <v>#NAME?</v>
      </c>
      <c r="C292" s="216" t="str">
        <f ca="1">IFERROR(VLOOKUP($B292,'Institution Evaluation'!$A$55:$F$346,2,0),IFERROR(VLOOKUP($B292,'Privacy Analyst Evaluation'!$A$46:$F$120,2,0),""))&amp;""</f>
        <v/>
      </c>
      <c r="D292" s="216" t="str">
        <f ca="1">IFERROR(VLOOKUP($B292,'Institution Evaluation'!$A$55:$F$346,3,0),IFERROR(VLOOKUP($B292,'Privacy Analyst Evaluation'!$A$46:$F$120,3,0),""))&amp;""</f>
        <v/>
      </c>
      <c r="E292" s="216" t="str">
        <f ca="1">IFERROR(VLOOKUP($B292,'Institution Evaluation'!$A$55:$F$346,4,0),IFERROR(VLOOKUP($B292,'Privacy Analyst Evaluation'!$A$46:$F$120,4,0),""))&amp;""</f>
        <v/>
      </c>
      <c r="F292" s="216" t="str">
        <f ca="1">IFERROR(VLOOKUP($B292,'Institution Evaluation'!$A$55:$F$346,6,0),IFERROR(VLOOKUP($B292,'Privacy Analyst Evaluation'!$A$46:$F$120,6,0),""))&amp;""</f>
        <v/>
      </c>
      <c r="G292" s="217"/>
      <c r="H292" s="216" t="str">
        <f>IFERROR(IF($H291+1&gt;'(backend scoring)'!$Q$335,"",$H291+1),"")</f>
        <v/>
      </c>
      <c r="I292" s="216" t="e">
        <f ca="1">_xlfn.XLOOKUP($H292,'(backend scoring)'!$S$2:$S$333,'(backend scoring)'!$A$2:$A$333,"")</f>
        <v>#NAME?</v>
      </c>
      <c r="J292" s="216" t="str">
        <f ca="1">IFERROR(VLOOKUP($I292,'Institution Evaluation'!$A$55:$F$346,2,0),IFERROR(VLOOKUP($I292,'Privacy Analyst Evaluation'!$A$46:$F$120,2,0),""))</f>
        <v/>
      </c>
      <c r="K292" s="216" t="str">
        <f ca="1">IFERROR(VLOOKUP($I292,'Institution Evaluation'!$A$55:$F$346,3,0),IFERROR(VLOOKUP($I292,'Privacy Analyst Evaluation'!$A$46:$F$120,3,0),""))&amp;""</f>
        <v/>
      </c>
      <c r="L292" s="216" t="str">
        <f ca="1">IFERROR(VLOOKUP($I292,'Institution Evaluation'!$A$55:$F$346,4,0),IFERROR(VLOOKUP($I292,'Privacy Analyst Evaluation'!$A$46:$F$120,4,0),""))&amp;""</f>
        <v/>
      </c>
      <c r="M292" s="216" t="str">
        <f ca="1">IFERROR(VLOOKUP($I292,'Institution Evaluation'!$A$55:$F$346,6,0),IFERROR(VLOOKUP($I292,'Privacy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ht="17">
      <c r="A293" s="216" t="str">
        <f>IFERROR(IF($A292+1&gt;'(backend scoring)'!$T$335,"",$A292+1),"")</f>
        <v/>
      </c>
      <c r="B293" s="216" t="e">
        <f ca="1">_xlfn.XLOOKUP($A293,'(backend scoring)'!$V$2:$V$333,'(backend scoring)'!$A$2:$A$333,"")</f>
        <v>#NAME?</v>
      </c>
      <c r="C293" s="216" t="str">
        <f ca="1">IFERROR(VLOOKUP($B293,'Institution Evaluation'!$A$55:$F$346,2,0),IFERROR(VLOOKUP($B293,'Privacy Analyst Evaluation'!$A$46:$F$120,2,0),""))&amp;""</f>
        <v/>
      </c>
      <c r="D293" s="216" t="str">
        <f ca="1">IFERROR(VLOOKUP($B293,'Institution Evaluation'!$A$55:$F$346,3,0),IFERROR(VLOOKUP($B293,'Privacy Analyst Evaluation'!$A$46:$F$120,3,0),""))&amp;""</f>
        <v/>
      </c>
      <c r="E293" s="216" t="str">
        <f ca="1">IFERROR(VLOOKUP($B293,'Institution Evaluation'!$A$55:$F$346,4,0),IFERROR(VLOOKUP($B293,'Privacy Analyst Evaluation'!$A$46:$F$120,4,0),""))&amp;""</f>
        <v/>
      </c>
      <c r="F293" s="216" t="str">
        <f ca="1">IFERROR(VLOOKUP($B293,'Institution Evaluation'!$A$55:$F$346,6,0),IFERROR(VLOOKUP($B293,'Privacy Analyst Evaluation'!$A$46:$F$120,6,0),""))&amp;""</f>
        <v/>
      </c>
      <c r="G293" s="217"/>
      <c r="H293" s="216" t="str">
        <f>IFERROR(IF($H292+1&gt;'(backend scoring)'!$Q$335,"",$H292+1),"")</f>
        <v/>
      </c>
      <c r="I293" s="216" t="e">
        <f ca="1">_xlfn.XLOOKUP($H293,'(backend scoring)'!$S$2:$S$333,'(backend scoring)'!$A$2:$A$333,"")</f>
        <v>#NAME?</v>
      </c>
      <c r="J293" s="216" t="str">
        <f ca="1">IFERROR(VLOOKUP($I293,'Institution Evaluation'!$A$55:$F$346,2,0),IFERROR(VLOOKUP($I293,'Privacy Analyst Evaluation'!$A$46:$F$120,2,0),""))</f>
        <v/>
      </c>
      <c r="K293" s="216" t="str">
        <f ca="1">IFERROR(VLOOKUP($I293,'Institution Evaluation'!$A$55:$F$346,3,0),IFERROR(VLOOKUP($I293,'Privacy Analyst Evaluation'!$A$46:$F$120,3,0),""))&amp;""</f>
        <v/>
      </c>
      <c r="L293" s="216" t="str">
        <f ca="1">IFERROR(VLOOKUP($I293,'Institution Evaluation'!$A$55:$F$346,4,0),IFERROR(VLOOKUP($I293,'Privacy Analyst Evaluation'!$A$46:$F$120,4,0),""))&amp;""</f>
        <v/>
      </c>
      <c r="M293" s="216" t="str">
        <f ca="1">IFERROR(VLOOKUP($I293,'Institution Evaluation'!$A$55:$F$346,6,0),IFERROR(VLOOKUP($I293,'Privacy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ht="17">
      <c r="A294" s="216" t="str">
        <f>IFERROR(IF($A293+1&gt;'(backend scoring)'!$T$335,"",$A293+1),"")</f>
        <v/>
      </c>
      <c r="B294" s="216" t="e">
        <f ca="1">_xlfn.XLOOKUP($A294,'(backend scoring)'!$V$2:$V$333,'(backend scoring)'!$A$2:$A$333,"")</f>
        <v>#NAME?</v>
      </c>
      <c r="C294" s="216" t="str">
        <f ca="1">IFERROR(VLOOKUP($B294,'Institution Evaluation'!$A$55:$F$346,2,0),IFERROR(VLOOKUP($B294,'Privacy Analyst Evaluation'!$A$46:$F$120,2,0),""))&amp;""</f>
        <v/>
      </c>
      <c r="D294" s="216" t="str">
        <f ca="1">IFERROR(VLOOKUP($B294,'Institution Evaluation'!$A$55:$F$346,3,0),IFERROR(VLOOKUP($B294,'Privacy Analyst Evaluation'!$A$46:$F$120,3,0),""))&amp;""</f>
        <v/>
      </c>
      <c r="E294" s="216" t="str">
        <f ca="1">IFERROR(VLOOKUP($B294,'Institution Evaluation'!$A$55:$F$346,4,0),IFERROR(VLOOKUP($B294,'Privacy Analyst Evaluation'!$A$46:$F$120,4,0),""))&amp;""</f>
        <v/>
      </c>
      <c r="F294" s="216" t="str">
        <f ca="1">IFERROR(VLOOKUP($B294,'Institution Evaluation'!$A$55:$F$346,6,0),IFERROR(VLOOKUP($B294,'Privacy Analyst Evaluation'!$A$46:$F$120,6,0),""))&amp;""</f>
        <v/>
      </c>
      <c r="G294" s="217"/>
      <c r="H294" s="216" t="str">
        <f>IFERROR(IF($H293+1&gt;'(backend scoring)'!$Q$335,"",$H293+1),"")</f>
        <v/>
      </c>
      <c r="I294" s="216" t="e">
        <f ca="1">_xlfn.XLOOKUP($H294,'(backend scoring)'!$S$2:$S$333,'(backend scoring)'!$A$2:$A$333,"")</f>
        <v>#NAME?</v>
      </c>
      <c r="J294" s="216" t="str">
        <f ca="1">IFERROR(VLOOKUP($I294,'Institution Evaluation'!$A$55:$F$346,2,0),IFERROR(VLOOKUP($I294,'Privacy Analyst Evaluation'!$A$46:$F$120,2,0),""))</f>
        <v/>
      </c>
      <c r="K294" s="216" t="str">
        <f ca="1">IFERROR(VLOOKUP($I294,'Institution Evaluation'!$A$55:$F$346,3,0),IFERROR(VLOOKUP($I294,'Privacy Analyst Evaluation'!$A$46:$F$120,3,0),""))&amp;""</f>
        <v/>
      </c>
      <c r="L294" s="216" t="str">
        <f ca="1">IFERROR(VLOOKUP($I294,'Institution Evaluation'!$A$55:$F$346,4,0),IFERROR(VLOOKUP($I294,'Privacy Analyst Evaluation'!$A$46:$F$120,4,0),""))&amp;""</f>
        <v/>
      </c>
      <c r="M294" s="216" t="str">
        <f ca="1">IFERROR(VLOOKUP($I294,'Institution Evaluation'!$A$55:$F$346,6,0),IFERROR(VLOOKUP($I294,'Privacy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ht="17">
      <c r="A295" s="216" t="str">
        <f>IFERROR(IF($A294+1&gt;'(backend scoring)'!$T$335,"",$A294+1),"")</f>
        <v/>
      </c>
      <c r="B295" s="216" t="e">
        <f ca="1">_xlfn.XLOOKUP($A295,'(backend scoring)'!$V$2:$V$333,'(backend scoring)'!$A$2:$A$333,"")</f>
        <v>#NAME?</v>
      </c>
      <c r="C295" s="216" t="str">
        <f ca="1">IFERROR(VLOOKUP($B295,'Institution Evaluation'!$A$55:$F$346,2,0),IFERROR(VLOOKUP($B295,'Privacy Analyst Evaluation'!$A$46:$F$120,2,0),""))&amp;""</f>
        <v/>
      </c>
      <c r="D295" s="216" t="str">
        <f ca="1">IFERROR(VLOOKUP($B295,'Institution Evaluation'!$A$55:$F$346,3,0),IFERROR(VLOOKUP($B295,'Privacy Analyst Evaluation'!$A$46:$F$120,3,0),""))&amp;""</f>
        <v/>
      </c>
      <c r="E295" s="216" t="str">
        <f ca="1">IFERROR(VLOOKUP($B295,'Institution Evaluation'!$A$55:$F$346,4,0),IFERROR(VLOOKUP($B295,'Privacy Analyst Evaluation'!$A$46:$F$120,4,0),""))&amp;""</f>
        <v/>
      </c>
      <c r="F295" s="216" t="str">
        <f ca="1">IFERROR(VLOOKUP($B295,'Institution Evaluation'!$A$55:$F$346,6,0),IFERROR(VLOOKUP($B295,'Privacy Analyst Evaluation'!$A$46:$F$120,6,0),""))&amp;""</f>
        <v/>
      </c>
      <c r="G295" s="217"/>
      <c r="H295" s="216" t="str">
        <f>IFERROR(IF($H294+1&gt;'(backend scoring)'!$Q$335,"",$H294+1),"")</f>
        <v/>
      </c>
      <c r="I295" s="216" t="e">
        <f ca="1">_xlfn.XLOOKUP($H295,'(backend scoring)'!$S$2:$S$333,'(backend scoring)'!$A$2:$A$333,"")</f>
        <v>#NAME?</v>
      </c>
      <c r="J295" s="216" t="str">
        <f ca="1">IFERROR(VLOOKUP($I295,'Institution Evaluation'!$A$55:$F$346,2,0),IFERROR(VLOOKUP($I295,'Privacy Analyst Evaluation'!$A$46:$F$120,2,0),""))</f>
        <v/>
      </c>
      <c r="K295" s="216" t="str">
        <f ca="1">IFERROR(VLOOKUP($I295,'Institution Evaluation'!$A$55:$F$346,3,0),IFERROR(VLOOKUP($I295,'Privacy Analyst Evaluation'!$A$46:$F$120,3,0),""))&amp;""</f>
        <v/>
      </c>
      <c r="L295" s="216" t="str">
        <f ca="1">IFERROR(VLOOKUP($I295,'Institution Evaluation'!$A$55:$F$346,4,0),IFERROR(VLOOKUP($I295,'Privacy Analyst Evaluation'!$A$46:$F$120,4,0),""))&amp;""</f>
        <v/>
      </c>
      <c r="M295" s="216" t="str">
        <f ca="1">IFERROR(VLOOKUP($I295,'Institution Evaluation'!$A$55:$F$346,6,0),IFERROR(VLOOKUP($I295,'Privacy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ht="17">
      <c r="A296" s="216" t="str">
        <f>IFERROR(IF($A295+1&gt;'(backend scoring)'!$T$335,"",$A295+1),"")</f>
        <v/>
      </c>
      <c r="B296" s="216" t="e">
        <f ca="1">_xlfn.XLOOKUP($A296,'(backend scoring)'!$V$2:$V$333,'(backend scoring)'!$A$2:$A$333,"")</f>
        <v>#NAME?</v>
      </c>
      <c r="C296" s="216" t="str">
        <f ca="1">IFERROR(VLOOKUP($B296,'Institution Evaluation'!$A$55:$F$346,2,0),IFERROR(VLOOKUP($B296,'Privacy Analyst Evaluation'!$A$46:$F$120,2,0),""))&amp;""</f>
        <v/>
      </c>
      <c r="D296" s="216" t="str">
        <f ca="1">IFERROR(VLOOKUP($B296,'Institution Evaluation'!$A$55:$F$346,3,0),IFERROR(VLOOKUP($B296,'Privacy Analyst Evaluation'!$A$46:$F$120,3,0),""))&amp;""</f>
        <v/>
      </c>
      <c r="E296" s="216" t="str">
        <f ca="1">IFERROR(VLOOKUP($B296,'Institution Evaluation'!$A$55:$F$346,4,0),IFERROR(VLOOKUP($B296,'Privacy Analyst Evaluation'!$A$46:$F$120,4,0),""))&amp;""</f>
        <v/>
      </c>
      <c r="F296" s="216" t="str">
        <f ca="1">IFERROR(VLOOKUP($B296,'Institution Evaluation'!$A$55:$F$346,6,0),IFERROR(VLOOKUP($B296,'Privacy Analyst Evaluation'!$A$46:$F$120,6,0),""))&amp;""</f>
        <v/>
      </c>
      <c r="G296" s="217"/>
      <c r="H296" s="216" t="str">
        <f>IFERROR(IF($H295+1&gt;'(backend scoring)'!$Q$335,"",$H295+1),"")</f>
        <v/>
      </c>
      <c r="I296" s="216" t="e">
        <f ca="1">_xlfn.XLOOKUP($H296,'(backend scoring)'!$S$2:$S$333,'(backend scoring)'!$A$2:$A$333,"")</f>
        <v>#NAME?</v>
      </c>
      <c r="J296" s="216" t="str">
        <f ca="1">IFERROR(VLOOKUP($I296,'Institution Evaluation'!$A$55:$F$346,2,0),IFERROR(VLOOKUP($I296,'Privacy Analyst Evaluation'!$A$46:$F$120,2,0),""))</f>
        <v/>
      </c>
      <c r="K296" s="216" t="str">
        <f ca="1">IFERROR(VLOOKUP($I296,'Institution Evaluation'!$A$55:$F$346,3,0),IFERROR(VLOOKUP($I296,'Privacy Analyst Evaluation'!$A$46:$F$120,3,0),""))&amp;""</f>
        <v/>
      </c>
      <c r="L296" s="216" t="str">
        <f ca="1">IFERROR(VLOOKUP($I296,'Institution Evaluation'!$A$55:$F$346,4,0),IFERROR(VLOOKUP($I296,'Privacy Analyst Evaluation'!$A$46:$F$120,4,0),""))&amp;""</f>
        <v/>
      </c>
      <c r="M296" s="216" t="str">
        <f ca="1">IFERROR(VLOOKUP($I296,'Institution Evaluation'!$A$55:$F$346,6,0),IFERROR(VLOOKUP($I296,'Privacy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ht="17">
      <c r="A297" s="216" t="str">
        <f>IFERROR(IF($A296+1&gt;'(backend scoring)'!$T$335,"",$A296+1),"")</f>
        <v/>
      </c>
      <c r="B297" s="216" t="e">
        <f ca="1">_xlfn.XLOOKUP($A297,'(backend scoring)'!$V$2:$V$333,'(backend scoring)'!$A$2:$A$333,"")</f>
        <v>#NAME?</v>
      </c>
      <c r="C297" s="216" t="str">
        <f ca="1">IFERROR(VLOOKUP($B297,'Institution Evaluation'!$A$55:$F$346,2,0),IFERROR(VLOOKUP($B297,'Privacy Analyst Evaluation'!$A$46:$F$120,2,0),""))&amp;""</f>
        <v/>
      </c>
      <c r="D297" s="216" t="str">
        <f ca="1">IFERROR(VLOOKUP($B297,'Institution Evaluation'!$A$55:$F$346,3,0),IFERROR(VLOOKUP($B297,'Privacy Analyst Evaluation'!$A$46:$F$120,3,0),""))&amp;""</f>
        <v/>
      </c>
      <c r="E297" s="216" t="str">
        <f ca="1">IFERROR(VLOOKUP($B297,'Institution Evaluation'!$A$55:$F$346,4,0),IFERROR(VLOOKUP($B297,'Privacy Analyst Evaluation'!$A$46:$F$120,4,0),""))&amp;""</f>
        <v/>
      </c>
      <c r="F297" s="216" t="str">
        <f ca="1">IFERROR(VLOOKUP($B297,'Institution Evaluation'!$A$55:$F$346,6,0),IFERROR(VLOOKUP($B297,'Privacy Analyst Evaluation'!$A$46:$F$120,6,0),""))&amp;""</f>
        <v/>
      </c>
      <c r="G297" s="217"/>
      <c r="H297" s="216" t="str">
        <f>IFERROR(IF($H296+1&gt;'(backend scoring)'!$Q$335,"",$H296+1),"")</f>
        <v/>
      </c>
      <c r="I297" s="216" t="e">
        <f ca="1">_xlfn.XLOOKUP($H297,'(backend scoring)'!$S$2:$S$333,'(backend scoring)'!$A$2:$A$333,"")</f>
        <v>#NAME?</v>
      </c>
      <c r="J297" s="216" t="str">
        <f ca="1">IFERROR(VLOOKUP($I297,'Institution Evaluation'!$A$55:$F$346,2,0),IFERROR(VLOOKUP($I297,'Privacy Analyst Evaluation'!$A$46:$F$120,2,0),""))</f>
        <v/>
      </c>
      <c r="K297" s="216" t="str">
        <f ca="1">IFERROR(VLOOKUP($I297,'Institution Evaluation'!$A$55:$F$346,3,0),IFERROR(VLOOKUP($I297,'Privacy Analyst Evaluation'!$A$46:$F$120,3,0),""))&amp;""</f>
        <v/>
      </c>
      <c r="L297" s="216" t="str">
        <f ca="1">IFERROR(VLOOKUP($I297,'Institution Evaluation'!$A$55:$F$346,4,0),IFERROR(VLOOKUP($I297,'Privacy Analyst Evaluation'!$A$46:$F$120,4,0),""))&amp;""</f>
        <v/>
      </c>
      <c r="M297" s="216" t="str">
        <f ca="1">IFERROR(VLOOKUP($I297,'Institution Evaluation'!$A$55:$F$346,6,0),IFERROR(VLOOKUP($I297,'Privacy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ht="17">
      <c r="A298" s="216" t="str">
        <f>IFERROR(IF($A297+1&gt;'(backend scoring)'!$T$335,"",$A297+1),"")</f>
        <v/>
      </c>
      <c r="B298" s="216" t="e">
        <f ca="1">_xlfn.XLOOKUP($A298,'(backend scoring)'!$V$2:$V$333,'(backend scoring)'!$A$2:$A$333,"")</f>
        <v>#NAME?</v>
      </c>
      <c r="C298" s="216" t="str">
        <f ca="1">IFERROR(VLOOKUP($B298,'Institution Evaluation'!$A$55:$F$346,2,0),IFERROR(VLOOKUP($B298,'Privacy Analyst Evaluation'!$A$46:$F$120,2,0),""))&amp;""</f>
        <v/>
      </c>
      <c r="D298" s="216" t="str">
        <f ca="1">IFERROR(VLOOKUP($B298,'Institution Evaluation'!$A$55:$F$346,3,0),IFERROR(VLOOKUP($B298,'Privacy Analyst Evaluation'!$A$46:$F$120,3,0),""))&amp;""</f>
        <v/>
      </c>
      <c r="E298" s="216" t="str">
        <f ca="1">IFERROR(VLOOKUP($B298,'Institution Evaluation'!$A$55:$F$346,4,0),IFERROR(VLOOKUP($B298,'Privacy Analyst Evaluation'!$A$46:$F$120,4,0),""))&amp;""</f>
        <v/>
      </c>
      <c r="F298" s="216" t="str">
        <f ca="1">IFERROR(VLOOKUP($B298,'Institution Evaluation'!$A$55:$F$346,6,0),IFERROR(VLOOKUP($B298,'Privacy Analyst Evaluation'!$A$46:$F$120,6,0),""))&amp;""</f>
        <v/>
      </c>
      <c r="G298" s="217"/>
      <c r="H298" s="216" t="str">
        <f>IFERROR(IF($H297+1&gt;'(backend scoring)'!$Q$335,"",$H297+1),"")</f>
        <v/>
      </c>
      <c r="I298" s="216" t="e">
        <f ca="1">_xlfn.XLOOKUP($H298,'(backend scoring)'!$S$2:$S$333,'(backend scoring)'!$A$2:$A$333,"")</f>
        <v>#NAME?</v>
      </c>
      <c r="J298" s="216" t="str">
        <f ca="1">IFERROR(VLOOKUP($I298,'Institution Evaluation'!$A$55:$F$346,2,0),IFERROR(VLOOKUP($I298,'Privacy Analyst Evaluation'!$A$46:$F$120,2,0),""))</f>
        <v/>
      </c>
      <c r="K298" s="216" t="str">
        <f ca="1">IFERROR(VLOOKUP($I298,'Institution Evaluation'!$A$55:$F$346,3,0),IFERROR(VLOOKUP($I298,'Privacy Analyst Evaluation'!$A$46:$F$120,3,0),""))&amp;""</f>
        <v/>
      </c>
      <c r="L298" s="216" t="str">
        <f ca="1">IFERROR(VLOOKUP($I298,'Institution Evaluation'!$A$55:$F$346,4,0),IFERROR(VLOOKUP($I298,'Privacy Analyst Evaluation'!$A$46:$F$120,4,0),""))&amp;""</f>
        <v/>
      </c>
      <c r="M298" s="216" t="str">
        <f ca="1">IFERROR(VLOOKUP($I298,'Institution Evaluation'!$A$55:$F$346,6,0),IFERROR(VLOOKUP($I298,'Privacy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ht="17">
      <c r="A299" s="216" t="str">
        <f>IFERROR(IF($A298+1&gt;'(backend scoring)'!$T$335,"",$A298+1),"")</f>
        <v/>
      </c>
      <c r="B299" s="216" t="e">
        <f ca="1">_xlfn.XLOOKUP($A299,'(backend scoring)'!$V$2:$V$333,'(backend scoring)'!$A$2:$A$333,"")</f>
        <v>#NAME?</v>
      </c>
      <c r="C299" s="216" t="str">
        <f ca="1">IFERROR(VLOOKUP($B299,'Institution Evaluation'!$A$55:$F$346,2,0),IFERROR(VLOOKUP($B299,'Privacy Analyst Evaluation'!$A$46:$F$120,2,0),""))&amp;""</f>
        <v/>
      </c>
      <c r="D299" s="216" t="str">
        <f ca="1">IFERROR(VLOOKUP($B299,'Institution Evaluation'!$A$55:$F$346,3,0),IFERROR(VLOOKUP($B299,'Privacy Analyst Evaluation'!$A$46:$F$120,3,0),""))&amp;""</f>
        <v/>
      </c>
      <c r="E299" s="216" t="str">
        <f ca="1">IFERROR(VLOOKUP($B299,'Institution Evaluation'!$A$55:$F$346,4,0),IFERROR(VLOOKUP($B299,'Privacy Analyst Evaluation'!$A$46:$F$120,4,0),""))&amp;""</f>
        <v/>
      </c>
      <c r="F299" s="216" t="str">
        <f ca="1">IFERROR(VLOOKUP($B299,'Institution Evaluation'!$A$55:$F$346,6,0),IFERROR(VLOOKUP($B299,'Privacy Analyst Evaluation'!$A$46:$F$120,6,0),""))&amp;""</f>
        <v/>
      </c>
      <c r="G299" s="217"/>
      <c r="H299" s="216" t="str">
        <f>IFERROR(IF($H298+1&gt;'(backend scoring)'!$Q$335,"",$H298+1),"")</f>
        <v/>
      </c>
      <c r="I299" s="216" t="e">
        <f ca="1">_xlfn.XLOOKUP($H299,'(backend scoring)'!$S$2:$S$333,'(backend scoring)'!$A$2:$A$333,"")</f>
        <v>#NAME?</v>
      </c>
      <c r="J299" s="216" t="str">
        <f ca="1">IFERROR(VLOOKUP($I299,'Institution Evaluation'!$A$55:$F$346,2,0),IFERROR(VLOOKUP($I299,'Privacy Analyst Evaluation'!$A$46:$F$120,2,0),""))</f>
        <v/>
      </c>
      <c r="K299" s="216" t="str">
        <f ca="1">IFERROR(VLOOKUP($I299,'Institution Evaluation'!$A$55:$F$346,3,0),IFERROR(VLOOKUP($I299,'Privacy Analyst Evaluation'!$A$46:$F$120,3,0),""))&amp;""</f>
        <v/>
      </c>
      <c r="L299" s="216" t="str">
        <f ca="1">IFERROR(VLOOKUP($I299,'Institution Evaluation'!$A$55:$F$346,4,0),IFERROR(VLOOKUP($I299,'Privacy Analyst Evaluation'!$A$46:$F$120,4,0),""))&amp;""</f>
        <v/>
      </c>
      <c r="M299" s="216" t="str">
        <f ca="1">IFERROR(VLOOKUP($I299,'Institution Evaluation'!$A$55:$F$346,6,0),IFERROR(VLOOKUP($I299,'Privacy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ht="17">
      <c r="A300" s="216" t="str">
        <f>IFERROR(IF($A299+1&gt;'(backend scoring)'!$T$335,"",$A299+1),"")</f>
        <v/>
      </c>
      <c r="B300" s="216" t="e">
        <f ca="1">_xlfn.XLOOKUP($A300,'(backend scoring)'!$V$2:$V$333,'(backend scoring)'!$A$2:$A$333,"")</f>
        <v>#NAME?</v>
      </c>
      <c r="C300" s="216" t="str">
        <f ca="1">IFERROR(VLOOKUP($B300,'Institution Evaluation'!$A$55:$F$346,2,0),IFERROR(VLOOKUP($B300,'Privacy Analyst Evaluation'!$A$46:$F$120,2,0),""))&amp;""</f>
        <v/>
      </c>
      <c r="D300" s="216" t="str">
        <f ca="1">IFERROR(VLOOKUP($B300,'Institution Evaluation'!$A$55:$F$346,3,0),IFERROR(VLOOKUP($B300,'Privacy Analyst Evaluation'!$A$46:$F$120,3,0),""))&amp;""</f>
        <v/>
      </c>
      <c r="E300" s="216" t="str">
        <f ca="1">IFERROR(VLOOKUP($B300,'Institution Evaluation'!$A$55:$F$346,4,0),IFERROR(VLOOKUP($B300,'Privacy Analyst Evaluation'!$A$46:$F$120,4,0),""))&amp;""</f>
        <v/>
      </c>
      <c r="F300" s="216" t="str">
        <f ca="1">IFERROR(VLOOKUP($B300,'Institution Evaluation'!$A$55:$F$346,6,0),IFERROR(VLOOKUP($B300,'Privacy Analyst Evaluation'!$A$46:$F$120,6,0),""))&amp;""</f>
        <v/>
      </c>
      <c r="G300" s="217"/>
      <c r="H300" s="216" t="str">
        <f>IFERROR(IF($H299+1&gt;'(backend scoring)'!$Q$335,"",$H299+1),"")</f>
        <v/>
      </c>
      <c r="I300" s="216" t="e">
        <f ca="1">_xlfn.XLOOKUP($H300,'(backend scoring)'!$S$2:$S$333,'(backend scoring)'!$A$2:$A$333,"")</f>
        <v>#NAME?</v>
      </c>
      <c r="J300" s="216" t="str">
        <f ca="1">IFERROR(VLOOKUP($I300,'Institution Evaluation'!$A$55:$F$346,2,0),IFERROR(VLOOKUP($I300,'Privacy Analyst Evaluation'!$A$46:$F$120,2,0),""))</f>
        <v/>
      </c>
      <c r="K300" s="216" t="str">
        <f ca="1">IFERROR(VLOOKUP($I300,'Institution Evaluation'!$A$55:$F$346,3,0),IFERROR(VLOOKUP($I300,'Privacy Analyst Evaluation'!$A$46:$F$120,3,0),""))&amp;""</f>
        <v/>
      </c>
      <c r="L300" s="216" t="str">
        <f ca="1">IFERROR(VLOOKUP($I300,'Institution Evaluation'!$A$55:$F$346,4,0),IFERROR(VLOOKUP($I300,'Privacy Analyst Evaluation'!$A$46:$F$120,4,0),""))&amp;""</f>
        <v/>
      </c>
      <c r="M300" s="216" t="str">
        <f ca="1">IFERROR(VLOOKUP($I300,'Institution Evaluation'!$A$55:$F$346,6,0),IFERROR(VLOOKUP($I300,'Privacy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ht="17">
      <c r="A301" s="216" t="str">
        <f>IFERROR(IF($A300+1&gt;'(backend scoring)'!$T$335,"",$A300+1),"")</f>
        <v/>
      </c>
      <c r="B301" s="216" t="e">
        <f ca="1">_xlfn.XLOOKUP($A301,'(backend scoring)'!$V$2:$V$333,'(backend scoring)'!$A$2:$A$333,"")</f>
        <v>#NAME?</v>
      </c>
      <c r="C301" s="216" t="str">
        <f ca="1">IFERROR(VLOOKUP($B301,'Institution Evaluation'!$A$55:$F$346,2,0),IFERROR(VLOOKUP($B301,'Privacy Analyst Evaluation'!$A$46:$F$120,2,0),""))&amp;""</f>
        <v/>
      </c>
      <c r="D301" s="216" t="str">
        <f ca="1">IFERROR(VLOOKUP($B301,'Institution Evaluation'!$A$55:$F$346,3,0),IFERROR(VLOOKUP($B301,'Privacy Analyst Evaluation'!$A$46:$F$120,3,0),""))&amp;""</f>
        <v/>
      </c>
      <c r="E301" s="216" t="str">
        <f ca="1">IFERROR(VLOOKUP($B301,'Institution Evaluation'!$A$55:$F$346,4,0),IFERROR(VLOOKUP($B301,'Privacy Analyst Evaluation'!$A$46:$F$120,4,0),""))&amp;""</f>
        <v/>
      </c>
      <c r="F301" s="216" t="str">
        <f ca="1">IFERROR(VLOOKUP($B301,'Institution Evaluation'!$A$55:$F$346,6,0),IFERROR(VLOOKUP($B301,'Privacy Analyst Evaluation'!$A$46:$F$120,6,0),""))&amp;""</f>
        <v/>
      </c>
      <c r="G301" s="217"/>
      <c r="H301" s="216" t="str">
        <f>IFERROR(IF($H300+1&gt;'(backend scoring)'!$Q$335,"",$H300+1),"")</f>
        <v/>
      </c>
      <c r="I301" s="216" t="e">
        <f ca="1">_xlfn.XLOOKUP($H301,'(backend scoring)'!$S$2:$S$333,'(backend scoring)'!$A$2:$A$333,"")</f>
        <v>#NAME?</v>
      </c>
      <c r="J301" s="216" t="str">
        <f ca="1">IFERROR(VLOOKUP($I301,'Institution Evaluation'!$A$55:$F$346,2,0),IFERROR(VLOOKUP($I301,'Privacy Analyst Evaluation'!$A$46:$F$120,2,0),""))</f>
        <v/>
      </c>
      <c r="K301" s="216" t="str">
        <f ca="1">IFERROR(VLOOKUP($I301,'Institution Evaluation'!$A$55:$F$346,3,0),IFERROR(VLOOKUP($I301,'Privacy Analyst Evaluation'!$A$46:$F$120,3,0),""))&amp;""</f>
        <v/>
      </c>
      <c r="L301" s="216" t="str">
        <f ca="1">IFERROR(VLOOKUP($I301,'Institution Evaluation'!$A$55:$F$346,4,0),IFERROR(VLOOKUP($I301,'Privacy Analyst Evaluation'!$A$46:$F$120,4,0),""))&amp;""</f>
        <v/>
      </c>
      <c r="M301" s="216" t="str">
        <f ca="1">IFERROR(VLOOKUP($I301,'Institution Evaluation'!$A$55:$F$346,6,0),IFERROR(VLOOKUP($I301,'Privacy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ht="17">
      <c r="A302" s="216" t="str">
        <f>IFERROR(IF($A301+1&gt;'(backend scoring)'!$T$335,"",$A301+1),"")</f>
        <v/>
      </c>
      <c r="B302" s="216" t="e">
        <f ca="1">_xlfn.XLOOKUP($A302,'(backend scoring)'!$V$2:$V$333,'(backend scoring)'!$A$2:$A$333,"")</f>
        <v>#NAME?</v>
      </c>
      <c r="C302" s="216" t="str">
        <f ca="1">IFERROR(VLOOKUP($B302,'Institution Evaluation'!$A$55:$F$346,2,0),IFERROR(VLOOKUP($B302,'Privacy Analyst Evaluation'!$A$46:$F$120,2,0),""))&amp;""</f>
        <v/>
      </c>
      <c r="D302" s="216" t="str">
        <f ca="1">IFERROR(VLOOKUP($B302,'Institution Evaluation'!$A$55:$F$346,3,0),IFERROR(VLOOKUP($B302,'Privacy Analyst Evaluation'!$A$46:$F$120,3,0),""))&amp;""</f>
        <v/>
      </c>
      <c r="E302" s="216" t="str">
        <f ca="1">IFERROR(VLOOKUP($B302,'Institution Evaluation'!$A$55:$F$346,4,0),IFERROR(VLOOKUP($B302,'Privacy Analyst Evaluation'!$A$46:$F$120,4,0),""))&amp;""</f>
        <v/>
      </c>
      <c r="F302" s="216" t="str">
        <f ca="1">IFERROR(VLOOKUP($B302,'Institution Evaluation'!$A$55:$F$346,6,0),IFERROR(VLOOKUP($B302,'Privacy Analyst Evaluation'!$A$46:$F$120,6,0),""))&amp;""</f>
        <v/>
      </c>
      <c r="G302" s="217"/>
      <c r="H302" s="216" t="str">
        <f>IFERROR(IF($H301+1&gt;'(backend scoring)'!$Q$335,"",$H301+1),"")</f>
        <v/>
      </c>
      <c r="I302" s="216" t="e">
        <f ca="1">_xlfn.XLOOKUP($H302,'(backend scoring)'!$S$2:$S$333,'(backend scoring)'!$A$2:$A$333,"")</f>
        <v>#NAME?</v>
      </c>
      <c r="J302" s="216" t="str">
        <f ca="1">IFERROR(VLOOKUP($I302,'Institution Evaluation'!$A$55:$F$346,2,0),IFERROR(VLOOKUP($I302,'Privacy Analyst Evaluation'!$A$46:$F$120,2,0),""))</f>
        <v/>
      </c>
      <c r="K302" s="216" t="str">
        <f ca="1">IFERROR(VLOOKUP($I302,'Institution Evaluation'!$A$55:$F$346,3,0),IFERROR(VLOOKUP($I302,'Privacy Analyst Evaluation'!$A$46:$F$120,3,0),""))&amp;""</f>
        <v/>
      </c>
      <c r="L302" s="216" t="str">
        <f ca="1">IFERROR(VLOOKUP($I302,'Institution Evaluation'!$A$55:$F$346,4,0),IFERROR(VLOOKUP($I302,'Privacy Analyst Evaluation'!$A$46:$F$120,4,0),""))&amp;""</f>
        <v/>
      </c>
      <c r="M302" s="216" t="str">
        <f ca="1">IFERROR(VLOOKUP($I302,'Institution Evaluation'!$A$55:$F$346,6,0),IFERROR(VLOOKUP($I302,'Privacy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ht="17">
      <c r="A303" s="216" t="str">
        <f>IFERROR(IF($A302+1&gt;'(backend scoring)'!$T$335,"",$A302+1),"")</f>
        <v/>
      </c>
      <c r="B303" s="216" t="e">
        <f ca="1">_xlfn.XLOOKUP($A303,'(backend scoring)'!$V$2:$V$333,'(backend scoring)'!$A$2:$A$333,"")</f>
        <v>#NAME?</v>
      </c>
      <c r="C303" s="216" t="str">
        <f ca="1">IFERROR(VLOOKUP($B303,'Institution Evaluation'!$A$55:$F$346,2,0),IFERROR(VLOOKUP($B303,'Privacy Analyst Evaluation'!$A$46:$F$120,2,0),""))&amp;""</f>
        <v/>
      </c>
      <c r="D303" s="216" t="str">
        <f ca="1">IFERROR(VLOOKUP($B303,'Institution Evaluation'!$A$55:$F$346,3,0),IFERROR(VLOOKUP($B303,'Privacy Analyst Evaluation'!$A$46:$F$120,3,0),""))&amp;""</f>
        <v/>
      </c>
      <c r="E303" s="216" t="str">
        <f ca="1">IFERROR(VLOOKUP($B303,'Institution Evaluation'!$A$55:$F$346,4,0),IFERROR(VLOOKUP($B303,'Privacy Analyst Evaluation'!$A$46:$F$120,4,0),""))&amp;""</f>
        <v/>
      </c>
      <c r="F303" s="216" t="str">
        <f ca="1">IFERROR(VLOOKUP($B303,'Institution Evaluation'!$A$55:$F$346,6,0),IFERROR(VLOOKUP($B303,'Privacy Analyst Evaluation'!$A$46:$F$120,6,0),""))&amp;""</f>
        <v/>
      </c>
      <c r="G303" s="217"/>
      <c r="H303" s="216" t="str">
        <f>IFERROR(IF($H302+1&gt;'(backend scoring)'!$Q$335,"",$H302+1),"")</f>
        <v/>
      </c>
      <c r="I303" s="216" t="e">
        <f ca="1">_xlfn.XLOOKUP($H303,'(backend scoring)'!$S$2:$S$333,'(backend scoring)'!$A$2:$A$333,"")</f>
        <v>#NAME?</v>
      </c>
      <c r="J303" s="216" t="str">
        <f ca="1">IFERROR(VLOOKUP($I303,'Institution Evaluation'!$A$55:$F$346,2,0),IFERROR(VLOOKUP($I303,'Privacy Analyst Evaluation'!$A$46:$F$120,2,0),""))</f>
        <v/>
      </c>
      <c r="K303" s="216" t="str">
        <f ca="1">IFERROR(VLOOKUP($I303,'Institution Evaluation'!$A$55:$F$346,3,0),IFERROR(VLOOKUP($I303,'Privacy Analyst Evaluation'!$A$46:$F$120,3,0),""))&amp;""</f>
        <v/>
      </c>
      <c r="L303" s="216" t="str">
        <f ca="1">IFERROR(VLOOKUP($I303,'Institution Evaluation'!$A$55:$F$346,4,0),IFERROR(VLOOKUP($I303,'Privacy Analyst Evaluation'!$A$46:$F$120,4,0),""))&amp;""</f>
        <v/>
      </c>
      <c r="M303" s="216" t="str">
        <f ca="1">IFERROR(VLOOKUP($I303,'Institution Evaluation'!$A$55:$F$346,6,0),IFERROR(VLOOKUP($I303,'Privacy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ht="17">
      <c r="A304" s="216" t="str">
        <f>IFERROR(IF($A303+1&gt;'(backend scoring)'!$T$335,"",$A303+1),"")</f>
        <v/>
      </c>
      <c r="B304" s="216" t="e">
        <f ca="1">_xlfn.XLOOKUP($A304,'(backend scoring)'!$V$2:$V$333,'(backend scoring)'!$A$2:$A$333,"")</f>
        <v>#NAME?</v>
      </c>
      <c r="C304" s="216" t="str">
        <f ca="1">IFERROR(VLOOKUP($B304,'Institution Evaluation'!$A$55:$F$346,2,0),IFERROR(VLOOKUP($B304,'Privacy Analyst Evaluation'!$A$46:$F$120,2,0),""))&amp;""</f>
        <v/>
      </c>
      <c r="D304" s="216" t="str">
        <f ca="1">IFERROR(VLOOKUP($B304,'Institution Evaluation'!$A$55:$F$346,3,0),IFERROR(VLOOKUP($B304,'Privacy Analyst Evaluation'!$A$46:$F$120,3,0),""))&amp;""</f>
        <v/>
      </c>
      <c r="E304" s="216" t="str">
        <f ca="1">IFERROR(VLOOKUP($B304,'Institution Evaluation'!$A$55:$F$346,4,0),IFERROR(VLOOKUP($B304,'Privacy Analyst Evaluation'!$A$46:$F$120,4,0),""))&amp;""</f>
        <v/>
      </c>
      <c r="F304" s="216" t="str">
        <f ca="1">IFERROR(VLOOKUP($B304,'Institution Evaluation'!$A$55:$F$346,6,0),IFERROR(VLOOKUP($B304,'Privacy Analyst Evaluation'!$A$46:$F$120,6,0),""))&amp;""</f>
        <v/>
      </c>
      <c r="G304" s="217"/>
      <c r="H304" s="216" t="str">
        <f>IFERROR(IF($H303+1&gt;'(backend scoring)'!$Q$335,"",$H303+1),"")</f>
        <v/>
      </c>
      <c r="I304" s="216" t="e">
        <f ca="1">_xlfn.XLOOKUP($H304,'(backend scoring)'!$S$2:$S$333,'(backend scoring)'!$A$2:$A$333,"")</f>
        <v>#NAME?</v>
      </c>
      <c r="J304" s="216" t="str">
        <f ca="1">IFERROR(VLOOKUP($I304,'Institution Evaluation'!$A$55:$F$346,2,0),IFERROR(VLOOKUP($I304,'Privacy Analyst Evaluation'!$A$46:$F$120,2,0),""))</f>
        <v/>
      </c>
      <c r="K304" s="216" t="str">
        <f ca="1">IFERROR(VLOOKUP($I304,'Institution Evaluation'!$A$55:$F$346,3,0),IFERROR(VLOOKUP($I304,'Privacy Analyst Evaluation'!$A$46:$F$120,3,0),""))&amp;""</f>
        <v/>
      </c>
      <c r="L304" s="216" t="str">
        <f ca="1">IFERROR(VLOOKUP($I304,'Institution Evaluation'!$A$55:$F$346,4,0),IFERROR(VLOOKUP($I304,'Privacy Analyst Evaluation'!$A$46:$F$120,4,0),""))&amp;""</f>
        <v/>
      </c>
      <c r="M304" s="216" t="str">
        <f ca="1">IFERROR(VLOOKUP($I304,'Institution Evaluation'!$A$55:$F$346,6,0),IFERROR(VLOOKUP($I304,'Privacy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ht="17">
      <c r="A305" s="216" t="str">
        <f>IFERROR(IF($A304+1&gt;'(backend scoring)'!$T$335,"",$A304+1),"")</f>
        <v/>
      </c>
      <c r="B305" s="216" t="e">
        <f ca="1">_xlfn.XLOOKUP($A305,'(backend scoring)'!$V$2:$V$333,'(backend scoring)'!$A$2:$A$333,"")</f>
        <v>#NAME?</v>
      </c>
      <c r="C305" s="216" t="str">
        <f ca="1">IFERROR(VLOOKUP($B305,'Institution Evaluation'!$A$55:$F$346,2,0),IFERROR(VLOOKUP($B305,'Privacy Analyst Evaluation'!$A$46:$F$120,2,0),""))&amp;""</f>
        <v/>
      </c>
      <c r="D305" s="216" t="str">
        <f ca="1">IFERROR(VLOOKUP($B305,'Institution Evaluation'!$A$55:$F$346,3,0),IFERROR(VLOOKUP($B305,'Privacy Analyst Evaluation'!$A$46:$F$120,3,0),""))&amp;""</f>
        <v/>
      </c>
      <c r="E305" s="216" t="str">
        <f ca="1">IFERROR(VLOOKUP($B305,'Institution Evaluation'!$A$55:$F$346,4,0),IFERROR(VLOOKUP($B305,'Privacy Analyst Evaluation'!$A$46:$F$120,4,0),""))&amp;""</f>
        <v/>
      </c>
      <c r="F305" s="216" t="str">
        <f ca="1">IFERROR(VLOOKUP($B305,'Institution Evaluation'!$A$55:$F$346,6,0),IFERROR(VLOOKUP($B305,'Privacy Analyst Evaluation'!$A$46:$F$120,6,0),""))&amp;""</f>
        <v/>
      </c>
      <c r="G305" s="217"/>
      <c r="H305" s="216" t="str">
        <f>IFERROR(IF($H304+1&gt;'(backend scoring)'!$Q$335,"",$H304+1),"")</f>
        <v/>
      </c>
      <c r="I305" s="216" t="e">
        <f ca="1">_xlfn.XLOOKUP($H305,'(backend scoring)'!$S$2:$S$333,'(backend scoring)'!$A$2:$A$333,"")</f>
        <v>#NAME?</v>
      </c>
      <c r="J305" s="216" t="str">
        <f ca="1">IFERROR(VLOOKUP($I305,'Institution Evaluation'!$A$55:$F$346,2,0),IFERROR(VLOOKUP($I305,'Privacy Analyst Evaluation'!$A$46:$F$120,2,0),""))</f>
        <v/>
      </c>
      <c r="K305" s="216" t="str">
        <f ca="1">IFERROR(VLOOKUP($I305,'Institution Evaluation'!$A$55:$F$346,3,0),IFERROR(VLOOKUP($I305,'Privacy Analyst Evaluation'!$A$46:$F$120,3,0),""))&amp;""</f>
        <v/>
      </c>
      <c r="L305" s="216" t="str">
        <f ca="1">IFERROR(VLOOKUP($I305,'Institution Evaluation'!$A$55:$F$346,4,0),IFERROR(VLOOKUP($I305,'Privacy Analyst Evaluation'!$A$46:$F$120,4,0),""))&amp;""</f>
        <v/>
      </c>
      <c r="M305" s="216" t="str">
        <f ca="1">IFERROR(VLOOKUP($I305,'Institution Evaluation'!$A$55:$F$346,6,0),IFERROR(VLOOKUP($I305,'Privacy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ht="17">
      <c r="A306" s="216" t="str">
        <f>IFERROR(IF($A305+1&gt;'(backend scoring)'!$T$335,"",$A305+1),"")</f>
        <v/>
      </c>
      <c r="B306" s="216" t="e">
        <f ca="1">_xlfn.XLOOKUP($A306,'(backend scoring)'!$V$2:$V$333,'(backend scoring)'!$A$2:$A$333,"")</f>
        <v>#NAME?</v>
      </c>
      <c r="C306" s="216" t="str">
        <f ca="1">IFERROR(VLOOKUP($B306,'Institution Evaluation'!$A$55:$F$346,2,0),IFERROR(VLOOKUP($B306,'Privacy Analyst Evaluation'!$A$46:$F$120,2,0),""))&amp;""</f>
        <v/>
      </c>
      <c r="D306" s="216" t="str">
        <f ca="1">IFERROR(VLOOKUP($B306,'Institution Evaluation'!$A$55:$F$346,3,0),IFERROR(VLOOKUP($B306,'Privacy Analyst Evaluation'!$A$46:$F$120,3,0),""))&amp;""</f>
        <v/>
      </c>
      <c r="E306" s="216" t="str">
        <f ca="1">IFERROR(VLOOKUP($B306,'Institution Evaluation'!$A$55:$F$346,4,0),IFERROR(VLOOKUP($B306,'Privacy Analyst Evaluation'!$A$46:$F$120,4,0),""))&amp;""</f>
        <v/>
      </c>
      <c r="F306" s="216" t="str">
        <f ca="1">IFERROR(VLOOKUP($B306,'Institution Evaluation'!$A$55:$F$346,6,0),IFERROR(VLOOKUP($B306,'Privacy Analyst Evaluation'!$A$46:$F$120,6,0),""))&amp;""</f>
        <v/>
      </c>
      <c r="G306" s="217"/>
      <c r="H306" s="216" t="str">
        <f>IFERROR(IF($H305+1&gt;'(backend scoring)'!$Q$335,"",$H305+1),"")</f>
        <v/>
      </c>
      <c r="I306" s="216" t="e">
        <f ca="1">_xlfn.XLOOKUP($H306,'(backend scoring)'!$S$2:$S$333,'(backend scoring)'!$A$2:$A$333,"")</f>
        <v>#NAME?</v>
      </c>
      <c r="J306" s="216" t="str">
        <f ca="1">IFERROR(VLOOKUP($I306,'Institution Evaluation'!$A$55:$F$346,2,0),IFERROR(VLOOKUP($I306,'Privacy Analyst Evaluation'!$A$46:$F$120,2,0),""))</f>
        <v/>
      </c>
      <c r="K306" s="216" t="str">
        <f ca="1">IFERROR(VLOOKUP($I306,'Institution Evaluation'!$A$55:$F$346,3,0),IFERROR(VLOOKUP($I306,'Privacy Analyst Evaluation'!$A$46:$F$120,3,0),""))&amp;""</f>
        <v/>
      </c>
      <c r="L306" s="216" t="str">
        <f ca="1">IFERROR(VLOOKUP($I306,'Institution Evaluation'!$A$55:$F$346,4,0),IFERROR(VLOOKUP($I306,'Privacy Analyst Evaluation'!$A$46:$F$120,4,0),""))&amp;""</f>
        <v/>
      </c>
      <c r="M306" s="216" t="str">
        <f ca="1">IFERROR(VLOOKUP($I306,'Institution Evaluation'!$A$55:$F$346,6,0),IFERROR(VLOOKUP($I306,'Privacy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ht="17">
      <c r="A307" s="216" t="str">
        <f>IFERROR(IF($A306+1&gt;'(backend scoring)'!$T$335,"",$A306+1),"")</f>
        <v/>
      </c>
      <c r="B307" s="216" t="e">
        <f ca="1">_xlfn.XLOOKUP($A307,'(backend scoring)'!$V$2:$V$333,'(backend scoring)'!$A$2:$A$333,"")</f>
        <v>#NAME?</v>
      </c>
      <c r="C307" s="216" t="str">
        <f ca="1">IFERROR(VLOOKUP($B307,'Institution Evaluation'!$A$55:$F$346,2,0),IFERROR(VLOOKUP($B307,'Privacy Analyst Evaluation'!$A$46:$F$120,2,0),""))&amp;""</f>
        <v/>
      </c>
      <c r="D307" s="216" t="str">
        <f ca="1">IFERROR(VLOOKUP($B307,'Institution Evaluation'!$A$55:$F$346,3,0),IFERROR(VLOOKUP($B307,'Privacy Analyst Evaluation'!$A$46:$F$120,3,0),""))&amp;""</f>
        <v/>
      </c>
      <c r="E307" s="216" t="str">
        <f ca="1">IFERROR(VLOOKUP($B307,'Institution Evaluation'!$A$55:$F$346,4,0),IFERROR(VLOOKUP($B307,'Privacy Analyst Evaluation'!$A$46:$F$120,4,0),""))&amp;""</f>
        <v/>
      </c>
      <c r="F307" s="216" t="str">
        <f ca="1">IFERROR(VLOOKUP($B307,'Institution Evaluation'!$A$55:$F$346,6,0),IFERROR(VLOOKUP($B307,'Privacy Analyst Evaluation'!$A$46:$F$120,6,0),""))&amp;""</f>
        <v/>
      </c>
      <c r="G307" s="217"/>
      <c r="H307" s="216" t="str">
        <f>IFERROR(IF($H306+1&gt;'(backend scoring)'!$Q$335,"",$H306+1),"")</f>
        <v/>
      </c>
      <c r="I307" s="216" t="e">
        <f ca="1">_xlfn.XLOOKUP($H307,'(backend scoring)'!$S$2:$S$333,'(backend scoring)'!$A$2:$A$333,"")</f>
        <v>#NAME?</v>
      </c>
      <c r="J307" s="216" t="str">
        <f ca="1">IFERROR(VLOOKUP($I307,'Institution Evaluation'!$A$55:$F$346,2,0),IFERROR(VLOOKUP($I307,'Privacy Analyst Evaluation'!$A$46:$F$120,2,0),""))</f>
        <v/>
      </c>
      <c r="K307" s="216" t="str">
        <f ca="1">IFERROR(VLOOKUP($I307,'Institution Evaluation'!$A$55:$F$346,3,0),IFERROR(VLOOKUP($I307,'Privacy Analyst Evaluation'!$A$46:$F$120,3,0),""))&amp;""</f>
        <v/>
      </c>
      <c r="L307" s="216" t="str">
        <f ca="1">IFERROR(VLOOKUP($I307,'Institution Evaluation'!$A$55:$F$346,4,0),IFERROR(VLOOKUP($I307,'Privacy Analyst Evaluation'!$A$46:$F$120,4,0),""))&amp;""</f>
        <v/>
      </c>
      <c r="M307" s="216" t="str">
        <f ca="1">IFERROR(VLOOKUP($I307,'Institution Evaluation'!$A$55:$F$346,6,0),IFERROR(VLOOKUP($I307,'Privacy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ht="17">
      <c r="A308" s="216" t="str">
        <f>IFERROR(IF($A307+1&gt;'(backend scoring)'!$T$335,"",$A307+1),"")</f>
        <v/>
      </c>
      <c r="B308" s="216" t="e">
        <f ca="1">_xlfn.XLOOKUP($A308,'(backend scoring)'!$V$2:$V$333,'(backend scoring)'!$A$2:$A$333,"")</f>
        <v>#NAME?</v>
      </c>
      <c r="C308" s="216" t="str">
        <f ca="1">IFERROR(VLOOKUP($B308,'Institution Evaluation'!$A$55:$F$346,2,0),IFERROR(VLOOKUP($B308,'Privacy Analyst Evaluation'!$A$46:$F$120,2,0),""))&amp;""</f>
        <v/>
      </c>
      <c r="D308" s="216" t="str">
        <f ca="1">IFERROR(VLOOKUP($B308,'Institution Evaluation'!$A$55:$F$346,3,0),IFERROR(VLOOKUP($B308,'Privacy Analyst Evaluation'!$A$46:$F$120,3,0),""))&amp;""</f>
        <v/>
      </c>
      <c r="E308" s="216" t="str">
        <f ca="1">IFERROR(VLOOKUP($B308,'Institution Evaluation'!$A$55:$F$346,4,0),IFERROR(VLOOKUP($B308,'Privacy Analyst Evaluation'!$A$46:$F$120,4,0),""))&amp;""</f>
        <v/>
      </c>
      <c r="F308" s="216" t="str">
        <f ca="1">IFERROR(VLOOKUP($B308,'Institution Evaluation'!$A$55:$F$346,6,0),IFERROR(VLOOKUP($B308,'Privacy Analyst Evaluation'!$A$46:$F$120,6,0),""))&amp;""</f>
        <v/>
      </c>
      <c r="G308" s="217"/>
      <c r="H308" s="216" t="str">
        <f>IFERROR(IF($H307+1&gt;'(backend scoring)'!$Q$335,"",$H307+1),"")</f>
        <v/>
      </c>
      <c r="I308" s="216" t="e">
        <f ca="1">_xlfn.XLOOKUP($H308,'(backend scoring)'!$S$2:$S$333,'(backend scoring)'!$A$2:$A$333,"")</f>
        <v>#NAME?</v>
      </c>
      <c r="J308" s="216" t="str">
        <f ca="1">IFERROR(VLOOKUP($I308,'Institution Evaluation'!$A$55:$F$346,2,0),IFERROR(VLOOKUP($I308,'Privacy Analyst Evaluation'!$A$46:$F$120,2,0),""))</f>
        <v/>
      </c>
      <c r="K308" s="216" t="str">
        <f ca="1">IFERROR(VLOOKUP($I308,'Institution Evaluation'!$A$55:$F$346,3,0),IFERROR(VLOOKUP($I308,'Privacy Analyst Evaluation'!$A$46:$F$120,3,0),""))&amp;""</f>
        <v/>
      </c>
      <c r="L308" s="216" t="str">
        <f ca="1">IFERROR(VLOOKUP($I308,'Institution Evaluation'!$A$55:$F$346,4,0),IFERROR(VLOOKUP($I308,'Privacy Analyst Evaluation'!$A$46:$F$120,4,0),""))&amp;""</f>
        <v/>
      </c>
      <c r="M308" s="216" t="str">
        <f ca="1">IFERROR(VLOOKUP($I308,'Institution Evaluation'!$A$55:$F$346,6,0),IFERROR(VLOOKUP($I308,'Privacy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ht="17">
      <c r="A309" s="216" t="str">
        <f>IFERROR(IF($A308+1&gt;'(backend scoring)'!$T$335,"",$A308+1),"")</f>
        <v/>
      </c>
      <c r="B309" s="216" t="e">
        <f ca="1">_xlfn.XLOOKUP($A309,'(backend scoring)'!$V$2:$V$333,'(backend scoring)'!$A$2:$A$333,"")</f>
        <v>#NAME?</v>
      </c>
      <c r="C309" s="216" t="str">
        <f ca="1">IFERROR(VLOOKUP($B309,'Institution Evaluation'!$A$55:$F$346,2,0),IFERROR(VLOOKUP($B309,'Privacy Analyst Evaluation'!$A$46:$F$120,2,0),""))&amp;""</f>
        <v/>
      </c>
      <c r="D309" s="216" t="str">
        <f ca="1">IFERROR(VLOOKUP($B309,'Institution Evaluation'!$A$55:$F$346,3,0),IFERROR(VLOOKUP($B309,'Privacy Analyst Evaluation'!$A$46:$F$120,3,0),""))&amp;""</f>
        <v/>
      </c>
      <c r="E309" s="216" t="str">
        <f ca="1">IFERROR(VLOOKUP($B309,'Institution Evaluation'!$A$55:$F$346,4,0),IFERROR(VLOOKUP($B309,'Privacy Analyst Evaluation'!$A$46:$F$120,4,0),""))&amp;""</f>
        <v/>
      </c>
      <c r="F309" s="216" t="str">
        <f ca="1">IFERROR(VLOOKUP($B309,'Institution Evaluation'!$A$55:$F$346,6,0),IFERROR(VLOOKUP($B309,'Privacy Analyst Evaluation'!$A$46:$F$120,6,0),""))&amp;""</f>
        <v/>
      </c>
      <c r="G309" s="217"/>
      <c r="H309" s="216" t="str">
        <f>IFERROR(IF($H308+1&gt;'(backend scoring)'!$Q$335,"",$H308+1),"")</f>
        <v/>
      </c>
      <c r="I309" s="216" t="e">
        <f ca="1">_xlfn.XLOOKUP($H309,'(backend scoring)'!$S$2:$S$333,'(backend scoring)'!$A$2:$A$333,"")</f>
        <v>#NAME?</v>
      </c>
      <c r="J309" s="216" t="str">
        <f ca="1">IFERROR(VLOOKUP($I309,'Institution Evaluation'!$A$55:$F$346,2,0),IFERROR(VLOOKUP($I309,'Privacy Analyst Evaluation'!$A$46:$F$120,2,0),""))</f>
        <v/>
      </c>
      <c r="K309" s="216" t="str">
        <f ca="1">IFERROR(VLOOKUP($I309,'Institution Evaluation'!$A$55:$F$346,3,0),IFERROR(VLOOKUP($I309,'Privacy Analyst Evaluation'!$A$46:$F$120,3,0),""))&amp;""</f>
        <v/>
      </c>
      <c r="L309" s="216" t="str">
        <f ca="1">IFERROR(VLOOKUP($I309,'Institution Evaluation'!$A$55:$F$346,4,0),IFERROR(VLOOKUP($I309,'Privacy Analyst Evaluation'!$A$46:$F$120,4,0),""))&amp;""</f>
        <v/>
      </c>
      <c r="M309" s="216" t="str">
        <f ca="1">IFERROR(VLOOKUP($I309,'Institution Evaluation'!$A$55:$F$346,6,0),IFERROR(VLOOKUP($I309,'Privacy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ht="17">
      <c r="A310" s="216" t="str">
        <f>IFERROR(IF($A309+1&gt;'(backend scoring)'!$T$335,"",$A309+1),"")</f>
        <v/>
      </c>
      <c r="B310" s="216" t="e">
        <f ca="1">_xlfn.XLOOKUP($A310,'(backend scoring)'!$V$2:$V$333,'(backend scoring)'!$A$2:$A$333,"")</f>
        <v>#NAME?</v>
      </c>
      <c r="C310" s="216" t="str">
        <f ca="1">IFERROR(VLOOKUP($B310,'Institution Evaluation'!$A$55:$F$346,2,0),IFERROR(VLOOKUP($B310,'Privacy Analyst Evaluation'!$A$46:$F$120,2,0),""))&amp;""</f>
        <v/>
      </c>
      <c r="D310" s="216" t="str">
        <f ca="1">IFERROR(VLOOKUP($B310,'Institution Evaluation'!$A$55:$F$346,3,0),IFERROR(VLOOKUP($B310,'Privacy Analyst Evaluation'!$A$46:$F$120,3,0),""))&amp;""</f>
        <v/>
      </c>
      <c r="E310" s="216" t="str">
        <f ca="1">IFERROR(VLOOKUP($B310,'Institution Evaluation'!$A$55:$F$346,4,0),IFERROR(VLOOKUP($B310,'Privacy Analyst Evaluation'!$A$46:$F$120,4,0),""))&amp;""</f>
        <v/>
      </c>
      <c r="F310" s="216" t="str">
        <f ca="1">IFERROR(VLOOKUP($B310,'Institution Evaluation'!$A$55:$F$346,6,0),IFERROR(VLOOKUP($B310,'Privacy Analyst Evaluation'!$A$46:$F$120,6,0),""))&amp;""</f>
        <v/>
      </c>
      <c r="G310" s="217"/>
      <c r="H310" s="216" t="str">
        <f>IFERROR(IF($H309+1&gt;'(backend scoring)'!$Q$335,"",$H309+1),"")</f>
        <v/>
      </c>
      <c r="I310" s="216" t="e">
        <f ca="1">_xlfn.XLOOKUP($H310,'(backend scoring)'!$S$2:$S$333,'(backend scoring)'!$A$2:$A$333,"")</f>
        <v>#NAME?</v>
      </c>
      <c r="J310" s="216" t="str">
        <f ca="1">IFERROR(VLOOKUP($I310,'Institution Evaluation'!$A$55:$F$346,2,0),IFERROR(VLOOKUP($I310,'Privacy Analyst Evaluation'!$A$46:$F$120,2,0),""))</f>
        <v/>
      </c>
      <c r="K310" s="216" t="str">
        <f ca="1">IFERROR(VLOOKUP($I310,'Institution Evaluation'!$A$55:$F$346,3,0),IFERROR(VLOOKUP($I310,'Privacy Analyst Evaluation'!$A$46:$F$120,3,0),""))&amp;""</f>
        <v/>
      </c>
      <c r="L310" s="216" t="str">
        <f ca="1">IFERROR(VLOOKUP($I310,'Institution Evaluation'!$A$55:$F$346,4,0),IFERROR(VLOOKUP($I310,'Privacy Analyst Evaluation'!$A$46:$F$120,4,0),""))&amp;""</f>
        <v/>
      </c>
      <c r="M310" s="216" t="str">
        <f ca="1">IFERROR(VLOOKUP($I310,'Institution Evaluation'!$A$55:$F$346,6,0),IFERROR(VLOOKUP($I310,'Privacy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ht="17">
      <c r="A311" s="216" t="str">
        <f>IFERROR(IF($A310+1&gt;'(backend scoring)'!$T$335,"",$A310+1),"")</f>
        <v/>
      </c>
      <c r="B311" s="216" t="e">
        <f ca="1">_xlfn.XLOOKUP($A311,'(backend scoring)'!$V$2:$V$333,'(backend scoring)'!$A$2:$A$333,"")</f>
        <v>#NAME?</v>
      </c>
      <c r="C311" s="216" t="str">
        <f ca="1">IFERROR(VLOOKUP($B311,'Institution Evaluation'!$A$55:$F$346,2,0),IFERROR(VLOOKUP($B311,'Privacy Analyst Evaluation'!$A$46:$F$120,2,0),""))&amp;""</f>
        <v/>
      </c>
      <c r="D311" s="216" t="str">
        <f ca="1">IFERROR(VLOOKUP($B311,'Institution Evaluation'!$A$55:$F$346,3,0),IFERROR(VLOOKUP($B311,'Privacy Analyst Evaluation'!$A$46:$F$120,3,0),""))&amp;""</f>
        <v/>
      </c>
      <c r="E311" s="216" t="str">
        <f ca="1">IFERROR(VLOOKUP($B311,'Institution Evaluation'!$A$55:$F$346,4,0),IFERROR(VLOOKUP($B311,'Privacy Analyst Evaluation'!$A$46:$F$120,4,0),""))&amp;""</f>
        <v/>
      </c>
      <c r="F311" s="216" t="str">
        <f ca="1">IFERROR(VLOOKUP($B311,'Institution Evaluation'!$A$55:$F$346,6,0),IFERROR(VLOOKUP($B311,'Privacy Analyst Evaluation'!$A$46:$F$120,6,0),""))&amp;""</f>
        <v/>
      </c>
      <c r="G311" s="217"/>
      <c r="H311" s="216" t="str">
        <f>IFERROR(IF($H310+1&gt;'(backend scoring)'!$Q$335,"",$H310+1),"")</f>
        <v/>
      </c>
      <c r="I311" s="216" t="e">
        <f ca="1">_xlfn.XLOOKUP($H311,'(backend scoring)'!$S$2:$S$333,'(backend scoring)'!$A$2:$A$333,"")</f>
        <v>#NAME?</v>
      </c>
      <c r="J311" s="216" t="str">
        <f ca="1">IFERROR(VLOOKUP($I311,'Institution Evaluation'!$A$55:$F$346,2,0),IFERROR(VLOOKUP($I311,'Privacy Analyst Evaluation'!$A$46:$F$120,2,0),""))</f>
        <v/>
      </c>
      <c r="K311" s="216" t="str">
        <f ca="1">IFERROR(VLOOKUP($I311,'Institution Evaluation'!$A$55:$F$346,3,0),IFERROR(VLOOKUP($I311,'Privacy Analyst Evaluation'!$A$46:$F$120,3,0),""))&amp;""</f>
        <v/>
      </c>
      <c r="L311" s="216" t="str">
        <f ca="1">IFERROR(VLOOKUP($I311,'Institution Evaluation'!$A$55:$F$346,4,0),IFERROR(VLOOKUP($I311,'Privacy Analyst Evaluation'!$A$46:$F$120,4,0),""))&amp;""</f>
        <v/>
      </c>
      <c r="M311" s="216" t="str">
        <f ca="1">IFERROR(VLOOKUP($I311,'Institution Evaluation'!$A$55:$F$346,6,0),IFERROR(VLOOKUP($I311,'Privacy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ht="17">
      <c r="A312" s="216" t="str">
        <f>IFERROR(IF($A311+1&gt;'(backend scoring)'!$T$335,"",$A311+1),"")</f>
        <v/>
      </c>
      <c r="B312" s="216" t="e">
        <f ca="1">_xlfn.XLOOKUP($A312,'(backend scoring)'!$V$2:$V$333,'(backend scoring)'!$A$2:$A$333,"")</f>
        <v>#NAME?</v>
      </c>
      <c r="C312" s="216" t="str">
        <f ca="1">IFERROR(VLOOKUP($B312,'Institution Evaluation'!$A$55:$F$346,2,0),IFERROR(VLOOKUP($B312,'Privacy Analyst Evaluation'!$A$46:$F$120,2,0),""))&amp;""</f>
        <v/>
      </c>
      <c r="D312" s="216" t="str">
        <f ca="1">IFERROR(VLOOKUP($B312,'Institution Evaluation'!$A$55:$F$346,3,0),IFERROR(VLOOKUP($B312,'Privacy Analyst Evaluation'!$A$46:$F$120,3,0),""))&amp;""</f>
        <v/>
      </c>
      <c r="E312" s="216" t="str">
        <f ca="1">IFERROR(VLOOKUP($B312,'Institution Evaluation'!$A$55:$F$346,4,0),IFERROR(VLOOKUP($B312,'Privacy Analyst Evaluation'!$A$46:$F$120,4,0),""))&amp;""</f>
        <v/>
      </c>
      <c r="F312" s="216" t="str">
        <f ca="1">IFERROR(VLOOKUP($B312,'Institution Evaluation'!$A$55:$F$346,6,0),IFERROR(VLOOKUP($B312,'Privacy Analyst Evaluation'!$A$46:$F$120,6,0),""))&amp;""</f>
        <v/>
      </c>
      <c r="G312" s="217"/>
      <c r="H312" s="216" t="str">
        <f>IFERROR(IF($H311+1&gt;'(backend scoring)'!$Q$335,"",$H311+1),"")</f>
        <v/>
      </c>
      <c r="I312" s="216" t="e">
        <f ca="1">_xlfn.XLOOKUP($H312,'(backend scoring)'!$S$2:$S$333,'(backend scoring)'!$A$2:$A$333,"")</f>
        <v>#NAME?</v>
      </c>
      <c r="J312" s="216" t="str">
        <f ca="1">IFERROR(VLOOKUP($I312,'Institution Evaluation'!$A$55:$F$346,2,0),IFERROR(VLOOKUP($I312,'Privacy Analyst Evaluation'!$A$46:$F$120,2,0),""))</f>
        <v/>
      </c>
      <c r="K312" s="216" t="str">
        <f ca="1">IFERROR(VLOOKUP($I312,'Institution Evaluation'!$A$55:$F$346,3,0),IFERROR(VLOOKUP($I312,'Privacy Analyst Evaluation'!$A$46:$F$120,3,0),""))&amp;""</f>
        <v/>
      </c>
      <c r="L312" s="216" t="str">
        <f ca="1">IFERROR(VLOOKUP($I312,'Institution Evaluation'!$A$55:$F$346,4,0),IFERROR(VLOOKUP($I312,'Privacy Analyst Evaluation'!$A$46:$F$120,4,0),""))&amp;""</f>
        <v/>
      </c>
      <c r="M312" s="216" t="str">
        <f ca="1">IFERROR(VLOOKUP($I312,'Institution Evaluation'!$A$55:$F$346,6,0),IFERROR(VLOOKUP($I312,'Privacy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ht="17">
      <c r="A313" s="216" t="str">
        <f>IFERROR(IF($A312+1&gt;'(backend scoring)'!$T$335,"",$A312+1),"")</f>
        <v/>
      </c>
      <c r="B313" s="216" t="e">
        <f ca="1">_xlfn.XLOOKUP($A313,'(backend scoring)'!$V$2:$V$333,'(backend scoring)'!$A$2:$A$333,"")</f>
        <v>#NAME?</v>
      </c>
      <c r="C313" s="216" t="str">
        <f ca="1">IFERROR(VLOOKUP($B313,'Institution Evaluation'!$A$55:$F$346,2,0),IFERROR(VLOOKUP($B313,'Privacy Analyst Evaluation'!$A$46:$F$120,2,0),""))&amp;""</f>
        <v/>
      </c>
      <c r="D313" s="216" t="str">
        <f ca="1">IFERROR(VLOOKUP($B313,'Institution Evaluation'!$A$55:$F$346,3,0),IFERROR(VLOOKUP($B313,'Privacy Analyst Evaluation'!$A$46:$F$120,3,0),""))&amp;""</f>
        <v/>
      </c>
      <c r="E313" s="216" t="str">
        <f ca="1">IFERROR(VLOOKUP($B313,'Institution Evaluation'!$A$55:$F$346,4,0),IFERROR(VLOOKUP($B313,'Privacy Analyst Evaluation'!$A$46:$F$120,4,0),""))&amp;""</f>
        <v/>
      </c>
      <c r="F313" s="216" t="str">
        <f ca="1">IFERROR(VLOOKUP($B313,'Institution Evaluation'!$A$55:$F$346,6,0),IFERROR(VLOOKUP($B313,'Privacy Analyst Evaluation'!$A$46:$F$120,6,0),""))&amp;""</f>
        <v/>
      </c>
      <c r="G313" s="217"/>
      <c r="H313" s="216" t="str">
        <f>IFERROR(IF($H312+1&gt;'(backend scoring)'!$Q$335,"",$H312+1),"")</f>
        <v/>
      </c>
      <c r="I313" s="216" t="e">
        <f ca="1">_xlfn.XLOOKUP($H313,'(backend scoring)'!$S$2:$S$333,'(backend scoring)'!$A$2:$A$333,"")</f>
        <v>#NAME?</v>
      </c>
      <c r="J313" s="216" t="str">
        <f ca="1">IFERROR(VLOOKUP($I313,'Institution Evaluation'!$A$55:$F$346,2,0),IFERROR(VLOOKUP($I313,'Privacy Analyst Evaluation'!$A$46:$F$120,2,0),""))</f>
        <v/>
      </c>
      <c r="K313" s="216" t="str">
        <f ca="1">IFERROR(VLOOKUP($I313,'Institution Evaluation'!$A$55:$F$346,3,0),IFERROR(VLOOKUP($I313,'Privacy Analyst Evaluation'!$A$46:$F$120,3,0),""))&amp;""</f>
        <v/>
      </c>
      <c r="L313" s="216" t="str">
        <f ca="1">IFERROR(VLOOKUP($I313,'Institution Evaluation'!$A$55:$F$346,4,0),IFERROR(VLOOKUP($I313,'Privacy Analyst Evaluation'!$A$46:$F$120,4,0),""))&amp;""</f>
        <v/>
      </c>
      <c r="M313" s="216" t="str">
        <f ca="1">IFERROR(VLOOKUP($I313,'Institution Evaluation'!$A$55:$F$346,6,0),IFERROR(VLOOKUP($I313,'Privacy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ht="17">
      <c r="A314" s="216" t="str">
        <f>IFERROR(IF($A313+1&gt;'(backend scoring)'!$T$335,"",$A313+1),"")</f>
        <v/>
      </c>
      <c r="B314" s="216" t="e">
        <f ca="1">_xlfn.XLOOKUP($A314,'(backend scoring)'!$V$2:$V$333,'(backend scoring)'!$A$2:$A$333,"")</f>
        <v>#NAME?</v>
      </c>
      <c r="C314" s="216" t="str">
        <f ca="1">IFERROR(VLOOKUP($B314,'Institution Evaluation'!$A$55:$F$346,2,0),IFERROR(VLOOKUP($B314,'Privacy Analyst Evaluation'!$A$46:$F$120,2,0),""))&amp;""</f>
        <v/>
      </c>
      <c r="D314" s="216" t="str">
        <f ca="1">IFERROR(VLOOKUP($B314,'Institution Evaluation'!$A$55:$F$346,3,0),IFERROR(VLOOKUP($B314,'Privacy Analyst Evaluation'!$A$46:$F$120,3,0),""))&amp;""</f>
        <v/>
      </c>
      <c r="E314" s="216" t="str">
        <f ca="1">IFERROR(VLOOKUP($B314,'Institution Evaluation'!$A$55:$F$346,4,0),IFERROR(VLOOKUP($B314,'Privacy Analyst Evaluation'!$A$46:$F$120,4,0),""))&amp;""</f>
        <v/>
      </c>
      <c r="F314" s="216" t="str">
        <f ca="1">IFERROR(VLOOKUP($B314,'Institution Evaluation'!$A$55:$F$346,6,0),IFERROR(VLOOKUP($B314,'Privacy Analyst Evaluation'!$A$46:$F$120,6,0),""))&amp;""</f>
        <v/>
      </c>
      <c r="G314" s="217"/>
      <c r="H314" s="216" t="str">
        <f>IFERROR(IF($H313+1&gt;'(backend scoring)'!$Q$335,"",$H313+1),"")</f>
        <v/>
      </c>
      <c r="I314" s="216" t="e">
        <f ca="1">_xlfn.XLOOKUP($H314,'(backend scoring)'!$S$2:$S$333,'(backend scoring)'!$A$2:$A$333,"")</f>
        <v>#NAME?</v>
      </c>
      <c r="J314" s="216" t="str">
        <f ca="1">IFERROR(VLOOKUP($I314,'Institution Evaluation'!$A$55:$F$346,2,0),IFERROR(VLOOKUP($I314,'Privacy Analyst Evaluation'!$A$46:$F$120,2,0),""))</f>
        <v/>
      </c>
      <c r="K314" s="216" t="str">
        <f ca="1">IFERROR(VLOOKUP($I314,'Institution Evaluation'!$A$55:$F$346,3,0),IFERROR(VLOOKUP($I314,'Privacy Analyst Evaluation'!$A$46:$F$120,3,0),""))&amp;""</f>
        <v/>
      </c>
      <c r="L314" s="216" t="str">
        <f ca="1">IFERROR(VLOOKUP($I314,'Institution Evaluation'!$A$55:$F$346,4,0),IFERROR(VLOOKUP($I314,'Privacy Analyst Evaluation'!$A$46:$F$120,4,0),""))&amp;""</f>
        <v/>
      </c>
      <c r="M314" s="216" t="str">
        <f ca="1">IFERROR(VLOOKUP($I314,'Institution Evaluation'!$A$55:$F$346,6,0),IFERROR(VLOOKUP($I314,'Privacy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ht="17">
      <c r="A315" s="216" t="str">
        <f>IFERROR(IF($A314+1&gt;'(backend scoring)'!$T$335,"",$A314+1),"")</f>
        <v/>
      </c>
      <c r="B315" s="216" t="e">
        <f ca="1">_xlfn.XLOOKUP($A315,'(backend scoring)'!$V$2:$V$333,'(backend scoring)'!$A$2:$A$333,"")</f>
        <v>#NAME?</v>
      </c>
      <c r="C315" s="216" t="str">
        <f ca="1">IFERROR(VLOOKUP($B315,'Institution Evaluation'!$A$55:$F$346,2,0),IFERROR(VLOOKUP($B315,'Privacy Analyst Evaluation'!$A$46:$F$120,2,0),""))&amp;""</f>
        <v/>
      </c>
      <c r="D315" s="216" t="str">
        <f ca="1">IFERROR(VLOOKUP($B315,'Institution Evaluation'!$A$55:$F$346,3,0),IFERROR(VLOOKUP($B315,'Privacy Analyst Evaluation'!$A$46:$F$120,3,0),""))&amp;""</f>
        <v/>
      </c>
      <c r="E315" s="216" t="str">
        <f ca="1">IFERROR(VLOOKUP($B315,'Institution Evaluation'!$A$55:$F$346,4,0),IFERROR(VLOOKUP($B315,'Privacy Analyst Evaluation'!$A$46:$F$120,4,0),""))&amp;""</f>
        <v/>
      </c>
      <c r="F315" s="216" t="str">
        <f ca="1">IFERROR(VLOOKUP($B315,'Institution Evaluation'!$A$55:$F$346,6,0),IFERROR(VLOOKUP($B315,'Privacy Analyst Evaluation'!$A$46:$F$120,6,0),""))&amp;""</f>
        <v/>
      </c>
      <c r="G315" s="217"/>
      <c r="H315" s="216" t="str">
        <f>IFERROR(IF($H314+1&gt;'(backend scoring)'!$Q$335,"",$H314+1),"")</f>
        <v/>
      </c>
      <c r="I315" s="216" t="e">
        <f ca="1">_xlfn.XLOOKUP($H315,'(backend scoring)'!$S$2:$S$333,'(backend scoring)'!$A$2:$A$333,"")</f>
        <v>#NAME?</v>
      </c>
      <c r="J315" s="216" t="str">
        <f ca="1">IFERROR(VLOOKUP($I315,'Institution Evaluation'!$A$55:$F$346,2,0),IFERROR(VLOOKUP($I315,'Privacy Analyst Evaluation'!$A$46:$F$120,2,0),""))</f>
        <v/>
      </c>
      <c r="K315" s="216" t="str">
        <f ca="1">IFERROR(VLOOKUP($I315,'Institution Evaluation'!$A$55:$F$346,3,0),IFERROR(VLOOKUP($I315,'Privacy Analyst Evaluation'!$A$46:$F$120,3,0),""))&amp;""</f>
        <v/>
      </c>
      <c r="L315" s="216" t="str">
        <f ca="1">IFERROR(VLOOKUP($I315,'Institution Evaluation'!$A$55:$F$346,4,0),IFERROR(VLOOKUP($I315,'Privacy Analyst Evaluation'!$A$46:$F$120,4,0),""))&amp;""</f>
        <v/>
      </c>
      <c r="M315" s="216" t="str">
        <f ca="1">IFERROR(VLOOKUP($I315,'Institution Evaluation'!$A$55:$F$346,6,0),IFERROR(VLOOKUP($I315,'Privacy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ht="17">
      <c r="A316" s="216" t="str">
        <f>IFERROR(IF($A315+1&gt;'(backend scoring)'!$T$335,"",$A315+1),"")</f>
        <v/>
      </c>
      <c r="B316" s="216" t="e">
        <f ca="1">_xlfn.XLOOKUP($A316,'(backend scoring)'!$V$2:$V$333,'(backend scoring)'!$A$2:$A$333,"")</f>
        <v>#NAME?</v>
      </c>
      <c r="C316" s="216" t="str">
        <f ca="1">IFERROR(VLOOKUP($B316,'Institution Evaluation'!$A$55:$F$346,2,0),IFERROR(VLOOKUP($B316,'Privacy Analyst Evaluation'!$A$46:$F$120,2,0),""))&amp;""</f>
        <v/>
      </c>
      <c r="D316" s="216" t="str">
        <f ca="1">IFERROR(VLOOKUP($B316,'Institution Evaluation'!$A$55:$F$346,3,0),IFERROR(VLOOKUP($B316,'Privacy Analyst Evaluation'!$A$46:$F$120,3,0),""))&amp;""</f>
        <v/>
      </c>
      <c r="E316" s="216" t="str">
        <f ca="1">IFERROR(VLOOKUP($B316,'Institution Evaluation'!$A$55:$F$346,4,0),IFERROR(VLOOKUP($B316,'Privacy Analyst Evaluation'!$A$46:$F$120,4,0),""))&amp;""</f>
        <v/>
      </c>
      <c r="F316" s="216" t="str">
        <f ca="1">IFERROR(VLOOKUP($B316,'Institution Evaluation'!$A$55:$F$346,6,0),IFERROR(VLOOKUP($B316,'Privacy Analyst Evaluation'!$A$46:$F$120,6,0),""))&amp;""</f>
        <v/>
      </c>
      <c r="G316" s="217"/>
      <c r="H316" s="216" t="str">
        <f>IFERROR(IF($H315+1&gt;'(backend scoring)'!$Q$335,"",$H315+1),"")</f>
        <v/>
      </c>
      <c r="I316" s="216" t="e">
        <f ca="1">_xlfn.XLOOKUP($H316,'(backend scoring)'!$S$2:$S$333,'(backend scoring)'!$A$2:$A$333,"")</f>
        <v>#NAME?</v>
      </c>
      <c r="J316" s="216" t="str">
        <f ca="1">IFERROR(VLOOKUP($I316,'Institution Evaluation'!$A$55:$F$346,2,0),IFERROR(VLOOKUP($I316,'Privacy Analyst Evaluation'!$A$46:$F$120,2,0),""))</f>
        <v/>
      </c>
      <c r="K316" s="216" t="str">
        <f ca="1">IFERROR(VLOOKUP($I316,'Institution Evaluation'!$A$55:$F$346,3,0),IFERROR(VLOOKUP($I316,'Privacy Analyst Evaluation'!$A$46:$F$120,3,0),""))&amp;""</f>
        <v/>
      </c>
      <c r="L316" s="216" t="str">
        <f ca="1">IFERROR(VLOOKUP($I316,'Institution Evaluation'!$A$55:$F$346,4,0),IFERROR(VLOOKUP($I316,'Privacy Analyst Evaluation'!$A$46:$F$120,4,0),""))&amp;""</f>
        <v/>
      </c>
      <c r="M316" s="216" t="str">
        <f ca="1">IFERROR(VLOOKUP($I316,'Institution Evaluation'!$A$55:$F$346,6,0),IFERROR(VLOOKUP($I316,'Privacy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ht="17">
      <c r="A317" s="216" t="str">
        <f>IFERROR(IF($A316+1&gt;'(backend scoring)'!$T$335,"",$A316+1),"")</f>
        <v/>
      </c>
      <c r="B317" s="216" t="e">
        <f ca="1">_xlfn.XLOOKUP($A317,'(backend scoring)'!$V$2:$V$333,'(backend scoring)'!$A$2:$A$333,"")</f>
        <v>#NAME?</v>
      </c>
      <c r="C317" s="216" t="str">
        <f ca="1">IFERROR(VLOOKUP($B317,'Institution Evaluation'!$A$55:$F$346,2,0),IFERROR(VLOOKUP($B317,'Privacy Analyst Evaluation'!$A$46:$F$120,2,0),""))&amp;""</f>
        <v/>
      </c>
      <c r="D317" s="216" t="str">
        <f ca="1">IFERROR(VLOOKUP($B317,'Institution Evaluation'!$A$55:$F$346,3,0),IFERROR(VLOOKUP($B317,'Privacy Analyst Evaluation'!$A$46:$F$120,3,0),""))&amp;""</f>
        <v/>
      </c>
      <c r="E317" s="216" t="str">
        <f ca="1">IFERROR(VLOOKUP($B317,'Institution Evaluation'!$A$55:$F$346,4,0),IFERROR(VLOOKUP($B317,'Privacy Analyst Evaluation'!$A$46:$F$120,4,0),""))&amp;""</f>
        <v/>
      </c>
      <c r="F317" s="216" t="str">
        <f ca="1">IFERROR(VLOOKUP($B317,'Institution Evaluation'!$A$55:$F$346,6,0),IFERROR(VLOOKUP($B317,'Privacy Analyst Evaluation'!$A$46:$F$120,6,0),""))&amp;""</f>
        <v/>
      </c>
      <c r="G317" s="217"/>
      <c r="H317" s="216" t="str">
        <f>IFERROR(IF($H316+1&gt;'(backend scoring)'!$Q$335,"",$H316+1),"")</f>
        <v/>
      </c>
      <c r="I317" s="216" t="e">
        <f ca="1">_xlfn.XLOOKUP($H317,'(backend scoring)'!$S$2:$S$333,'(backend scoring)'!$A$2:$A$333,"")</f>
        <v>#NAME?</v>
      </c>
      <c r="J317" s="216" t="str">
        <f ca="1">IFERROR(VLOOKUP($I317,'Institution Evaluation'!$A$55:$F$346,2,0),IFERROR(VLOOKUP($I317,'Privacy Analyst Evaluation'!$A$46:$F$120,2,0),""))</f>
        <v/>
      </c>
      <c r="K317" s="216" t="str">
        <f ca="1">IFERROR(VLOOKUP($I317,'Institution Evaluation'!$A$55:$F$346,3,0),IFERROR(VLOOKUP($I317,'Privacy Analyst Evaluation'!$A$46:$F$120,3,0),""))&amp;""</f>
        <v/>
      </c>
      <c r="L317" s="216" t="str">
        <f ca="1">IFERROR(VLOOKUP($I317,'Institution Evaluation'!$A$55:$F$346,4,0),IFERROR(VLOOKUP($I317,'Privacy Analyst Evaluation'!$A$46:$F$120,4,0),""))&amp;""</f>
        <v/>
      </c>
      <c r="M317" s="216" t="str">
        <f ca="1">IFERROR(VLOOKUP($I317,'Institution Evaluation'!$A$55:$F$346,6,0),IFERROR(VLOOKUP($I317,'Privacy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ht="17">
      <c r="A318" s="216" t="str">
        <f>IFERROR(IF($A317+1&gt;'(backend scoring)'!$T$335,"",$A317+1),"")</f>
        <v/>
      </c>
      <c r="B318" s="216" t="e">
        <f ca="1">_xlfn.XLOOKUP($A318,'(backend scoring)'!$V$2:$V$333,'(backend scoring)'!$A$2:$A$333,"")</f>
        <v>#NAME?</v>
      </c>
      <c r="C318" s="216" t="str">
        <f ca="1">IFERROR(VLOOKUP($B318,'Institution Evaluation'!$A$55:$F$346,2,0),IFERROR(VLOOKUP($B318,'Privacy Analyst Evaluation'!$A$46:$F$120,2,0),""))&amp;""</f>
        <v/>
      </c>
      <c r="D318" s="216" t="str">
        <f ca="1">IFERROR(VLOOKUP($B318,'Institution Evaluation'!$A$55:$F$346,3,0),IFERROR(VLOOKUP($B318,'Privacy Analyst Evaluation'!$A$46:$F$120,3,0),""))&amp;""</f>
        <v/>
      </c>
      <c r="E318" s="216" t="str">
        <f ca="1">IFERROR(VLOOKUP($B318,'Institution Evaluation'!$A$55:$F$346,4,0),IFERROR(VLOOKUP($B318,'Privacy Analyst Evaluation'!$A$46:$F$120,4,0),""))&amp;""</f>
        <v/>
      </c>
      <c r="F318" s="216" t="str">
        <f ca="1">IFERROR(VLOOKUP($B318,'Institution Evaluation'!$A$55:$F$346,6,0),IFERROR(VLOOKUP($B318,'Privacy Analyst Evaluation'!$A$46:$F$120,6,0),""))&amp;""</f>
        <v/>
      </c>
      <c r="G318" s="217"/>
      <c r="H318" s="216" t="str">
        <f>IFERROR(IF($H317+1&gt;'(backend scoring)'!$Q$335,"",$H317+1),"")</f>
        <v/>
      </c>
      <c r="I318" s="216" t="e">
        <f ca="1">_xlfn.XLOOKUP($H318,'(backend scoring)'!$S$2:$S$333,'(backend scoring)'!$A$2:$A$333,"")</f>
        <v>#NAME?</v>
      </c>
      <c r="J318" s="216" t="str">
        <f ca="1">IFERROR(VLOOKUP($I318,'Institution Evaluation'!$A$55:$F$346,2,0),IFERROR(VLOOKUP($I318,'Privacy Analyst Evaluation'!$A$46:$F$120,2,0),""))</f>
        <v/>
      </c>
      <c r="K318" s="216" t="str">
        <f ca="1">IFERROR(VLOOKUP($I318,'Institution Evaluation'!$A$55:$F$346,3,0),IFERROR(VLOOKUP($I318,'Privacy Analyst Evaluation'!$A$46:$F$120,3,0),""))&amp;""</f>
        <v/>
      </c>
      <c r="L318" s="216" t="str">
        <f ca="1">IFERROR(VLOOKUP($I318,'Institution Evaluation'!$A$55:$F$346,4,0),IFERROR(VLOOKUP($I318,'Privacy Analyst Evaluation'!$A$46:$F$120,4,0),""))&amp;""</f>
        <v/>
      </c>
      <c r="M318" s="216" t="str">
        <f ca="1">IFERROR(VLOOKUP($I318,'Institution Evaluation'!$A$55:$F$346,6,0),IFERROR(VLOOKUP($I318,'Privacy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ht="17">
      <c r="A319" s="216" t="str">
        <f>IFERROR(IF($A318+1&gt;'(backend scoring)'!$T$335,"",$A318+1),"")</f>
        <v/>
      </c>
      <c r="B319" s="216" t="e">
        <f ca="1">_xlfn.XLOOKUP($A319,'(backend scoring)'!$V$2:$V$333,'(backend scoring)'!$A$2:$A$333,"")</f>
        <v>#NAME?</v>
      </c>
      <c r="C319" s="216" t="str">
        <f ca="1">IFERROR(VLOOKUP($B319,'Institution Evaluation'!$A$55:$F$346,2,0),IFERROR(VLOOKUP($B319,'Privacy Analyst Evaluation'!$A$46:$F$120,2,0),""))&amp;""</f>
        <v/>
      </c>
      <c r="D319" s="216" t="str">
        <f ca="1">IFERROR(VLOOKUP($B319,'Institution Evaluation'!$A$55:$F$346,3,0),IFERROR(VLOOKUP($B319,'Privacy Analyst Evaluation'!$A$46:$F$120,3,0),""))&amp;""</f>
        <v/>
      </c>
      <c r="E319" s="216" t="str">
        <f ca="1">IFERROR(VLOOKUP($B319,'Institution Evaluation'!$A$55:$F$346,4,0),IFERROR(VLOOKUP($B319,'Privacy Analyst Evaluation'!$A$46:$F$120,4,0),""))&amp;""</f>
        <v/>
      </c>
      <c r="F319" s="216" t="str">
        <f ca="1">IFERROR(VLOOKUP($B319,'Institution Evaluation'!$A$55:$F$346,6,0),IFERROR(VLOOKUP($B319,'Privacy Analyst Evaluation'!$A$46:$F$120,6,0),""))&amp;""</f>
        <v/>
      </c>
      <c r="G319" s="217"/>
      <c r="H319" s="216" t="str">
        <f>IFERROR(IF($H318+1&gt;'(backend scoring)'!$Q$335,"",$H318+1),"")</f>
        <v/>
      </c>
      <c r="I319" s="216" t="e">
        <f ca="1">_xlfn.XLOOKUP($H319,'(backend scoring)'!$S$2:$S$333,'(backend scoring)'!$A$2:$A$333,"")</f>
        <v>#NAME?</v>
      </c>
      <c r="J319" s="216" t="str">
        <f ca="1">IFERROR(VLOOKUP($I319,'Institution Evaluation'!$A$55:$F$346,2,0),IFERROR(VLOOKUP($I319,'Privacy Analyst Evaluation'!$A$46:$F$120,2,0),""))</f>
        <v/>
      </c>
      <c r="K319" s="216" t="str">
        <f ca="1">IFERROR(VLOOKUP($I319,'Institution Evaluation'!$A$55:$F$346,3,0),IFERROR(VLOOKUP($I319,'Privacy Analyst Evaluation'!$A$46:$F$120,3,0),""))&amp;""</f>
        <v/>
      </c>
      <c r="L319" s="216" t="str">
        <f ca="1">IFERROR(VLOOKUP($I319,'Institution Evaluation'!$A$55:$F$346,4,0),IFERROR(VLOOKUP($I319,'Privacy Analyst Evaluation'!$A$46:$F$120,4,0),""))&amp;""</f>
        <v/>
      </c>
      <c r="M319" s="216" t="str">
        <f ca="1">IFERROR(VLOOKUP($I319,'Institution Evaluation'!$A$55:$F$346,6,0),IFERROR(VLOOKUP($I319,'Privacy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ht="17">
      <c r="A320" s="216" t="str">
        <f>IFERROR(IF($A319+1&gt;'(backend scoring)'!$T$335,"",$A319+1),"")</f>
        <v/>
      </c>
      <c r="B320" s="216" t="e">
        <f ca="1">_xlfn.XLOOKUP($A320,'(backend scoring)'!$V$2:$V$333,'(backend scoring)'!$A$2:$A$333,"")</f>
        <v>#NAME?</v>
      </c>
      <c r="C320" s="216" t="str">
        <f ca="1">IFERROR(VLOOKUP($B320,'Institution Evaluation'!$A$55:$F$346,2,0),IFERROR(VLOOKUP($B320,'Privacy Analyst Evaluation'!$A$46:$F$120,2,0),""))&amp;""</f>
        <v/>
      </c>
      <c r="D320" s="216" t="str">
        <f ca="1">IFERROR(VLOOKUP($B320,'Institution Evaluation'!$A$55:$F$346,3,0),IFERROR(VLOOKUP($B320,'Privacy Analyst Evaluation'!$A$46:$F$120,3,0),""))&amp;""</f>
        <v/>
      </c>
      <c r="E320" s="216" t="str">
        <f ca="1">IFERROR(VLOOKUP($B320,'Institution Evaluation'!$A$55:$F$346,4,0),IFERROR(VLOOKUP($B320,'Privacy Analyst Evaluation'!$A$46:$F$120,4,0),""))&amp;""</f>
        <v/>
      </c>
      <c r="F320" s="216" t="str">
        <f ca="1">IFERROR(VLOOKUP($B320,'Institution Evaluation'!$A$55:$F$346,6,0),IFERROR(VLOOKUP($B320,'Privacy Analyst Evaluation'!$A$46:$F$120,6,0),""))&amp;""</f>
        <v/>
      </c>
      <c r="G320" s="217"/>
      <c r="H320" s="216" t="str">
        <f>IFERROR(IF($H319+1&gt;'(backend scoring)'!$Q$335,"",$H319+1),"")</f>
        <v/>
      </c>
      <c r="I320" s="216" t="e">
        <f ca="1">_xlfn.XLOOKUP($H320,'(backend scoring)'!$S$2:$S$333,'(backend scoring)'!$A$2:$A$333,"")</f>
        <v>#NAME?</v>
      </c>
      <c r="J320" s="216" t="str">
        <f ca="1">IFERROR(VLOOKUP($I320,'Institution Evaluation'!$A$55:$F$346,2,0),IFERROR(VLOOKUP($I320,'Privacy Analyst Evaluation'!$A$46:$F$120,2,0),""))</f>
        <v/>
      </c>
      <c r="K320" s="216" t="str">
        <f ca="1">IFERROR(VLOOKUP($I320,'Institution Evaluation'!$A$55:$F$346,3,0),IFERROR(VLOOKUP($I320,'Privacy Analyst Evaluation'!$A$46:$F$120,3,0),""))&amp;""</f>
        <v/>
      </c>
      <c r="L320" s="216" t="str">
        <f ca="1">IFERROR(VLOOKUP($I320,'Institution Evaluation'!$A$55:$F$346,4,0),IFERROR(VLOOKUP($I320,'Privacy Analyst Evaluation'!$A$46:$F$120,4,0),""))&amp;""</f>
        <v/>
      </c>
      <c r="M320" s="216" t="str">
        <f ca="1">IFERROR(VLOOKUP($I320,'Institution Evaluation'!$A$55:$F$346,6,0),IFERROR(VLOOKUP($I320,'Privacy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ht="17">
      <c r="A321" s="216" t="str">
        <f>IFERROR(IF($A320+1&gt;'(backend scoring)'!$T$335,"",$A320+1),"")</f>
        <v/>
      </c>
      <c r="B321" s="216" t="e">
        <f ca="1">_xlfn.XLOOKUP($A321,'(backend scoring)'!$V$2:$V$333,'(backend scoring)'!$A$2:$A$333,"")</f>
        <v>#NAME?</v>
      </c>
      <c r="C321" s="216" t="str">
        <f ca="1">IFERROR(VLOOKUP($B321,'Institution Evaluation'!$A$55:$F$346,2,0),IFERROR(VLOOKUP($B321,'Privacy Analyst Evaluation'!$A$46:$F$120,2,0),""))&amp;""</f>
        <v/>
      </c>
      <c r="D321" s="216" t="str">
        <f ca="1">IFERROR(VLOOKUP($B321,'Institution Evaluation'!$A$55:$F$346,3,0),IFERROR(VLOOKUP($B321,'Privacy Analyst Evaluation'!$A$46:$F$120,3,0),""))&amp;""</f>
        <v/>
      </c>
      <c r="E321" s="216" t="str">
        <f ca="1">IFERROR(VLOOKUP($B321,'Institution Evaluation'!$A$55:$F$346,4,0),IFERROR(VLOOKUP($B321,'Privacy Analyst Evaluation'!$A$46:$F$120,4,0),""))&amp;""</f>
        <v/>
      </c>
      <c r="F321" s="216" t="str">
        <f ca="1">IFERROR(VLOOKUP($B321,'Institution Evaluation'!$A$55:$F$346,6,0),IFERROR(VLOOKUP($B321,'Privacy Analyst Evaluation'!$A$46:$F$120,6,0),""))&amp;""</f>
        <v/>
      </c>
      <c r="G321" s="217"/>
      <c r="H321" s="216" t="str">
        <f>IFERROR(IF($H320+1&gt;'(backend scoring)'!$Q$335,"",$H320+1),"")</f>
        <v/>
      </c>
      <c r="I321" s="216" t="e">
        <f ca="1">_xlfn.XLOOKUP($H321,'(backend scoring)'!$S$2:$S$333,'(backend scoring)'!$A$2:$A$333,"")</f>
        <v>#NAME?</v>
      </c>
      <c r="J321" s="216" t="str">
        <f ca="1">IFERROR(VLOOKUP($I321,'Institution Evaluation'!$A$55:$F$346,2,0),IFERROR(VLOOKUP($I321,'Privacy Analyst Evaluation'!$A$46:$F$120,2,0),""))</f>
        <v/>
      </c>
      <c r="K321" s="216" t="str">
        <f ca="1">IFERROR(VLOOKUP($I321,'Institution Evaluation'!$A$55:$F$346,3,0),IFERROR(VLOOKUP($I321,'Privacy Analyst Evaluation'!$A$46:$F$120,3,0),""))&amp;""</f>
        <v/>
      </c>
      <c r="L321" s="216" t="str">
        <f ca="1">IFERROR(VLOOKUP($I321,'Institution Evaluation'!$A$55:$F$346,4,0),IFERROR(VLOOKUP($I321,'Privacy Analyst Evaluation'!$A$46:$F$120,4,0),""))&amp;""</f>
        <v/>
      </c>
      <c r="M321" s="216" t="str">
        <f ca="1">IFERROR(VLOOKUP($I321,'Institution Evaluation'!$A$55:$F$346,6,0),IFERROR(VLOOKUP($I321,'Privacy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ht="17">
      <c r="A322" s="216" t="str">
        <f>IFERROR(IF($A321+1&gt;'(backend scoring)'!$T$335,"",$A321+1),"")</f>
        <v/>
      </c>
      <c r="B322" s="216" t="e">
        <f ca="1">_xlfn.XLOOKUP($A322,'(backend scoring)'!$V$2:$V$333,'(backend scoring)'!$A$2:$A$333,"")</f>
        <v>#NAME?</v>
      </c>
      <c r="C322" s="216" t="str">
        <f ca="1">IFERROR(VLOOKUP($B322,'Institution Evaluation'!$A$55:$F$346,2,0),IFERROR(VLOOKUP($B322,'Privacy Analyst Evaluation'!$A$46:$F$120,2,0),""))&amp;""</f>
        <v/>
      </c>
      <c r="D322" s="216" t="str">
        <f ca="1">IFERROR(VLOOKUP($B322,'Institution Evaluation'!$A$55:$F$346,3,0),IFERROR(VLOOKUP($B322,'Privacy Analyst Evaluation'!$A$46:$F$120,3,0),""))&amp;""</f>
        <v/>
      </c>
      <c r="E322" s="216" t="str">
        <f ca="1">IFERROR(VLOOKUP($B322,'Institution Evaluation'!$A$55:$F$346,4,0),IFERROR(VLOOKUP($B322,'Privacy Analyst Evaluation'!$A$46:$F$120,4,0),""))&amp;""</f>
        <v/>
      </c>
      <c r="F322" s="216" t="str">
        <f ca="1">IFERROR(VLOOKUP($B322,'Institution Evaluation'!$A$55:$F$346,6,0),IFERROR(VLOOKUP($B322,'Privacy Analyst Evaluation'!$A$46:$F$120,6,0),""))&amp;""</f>
        <v/>
      </c>
      <c r="G322" s="217"/>
      <c r="H322" s="216" t="str">
        <f>IFERROR(IF($H321+1&gt;'(backend scoring)'!$Q$335,"",$H321+1),"")</f>
        <v/>
      </c>
      <c r="I322" s="216" t="e">
        <f ca="1">_xlfn.XLOOKUP($H322,'(backend scoring)'!$S$2:$S$333,'(backend scoring)'!$A$2:$A$333,"")</f>
        <v>#NAME?</v>
      </c>
      <c r="J322" s="216" t="str">
        <f ca="1">IFERROR(VLOOKUP($I322,'Institution Evaluation'!$A$55:$F$346,2,0),IFERROR(VLOOKUP($I322,'Privacy Analyst Evaluation'!$A$46:$F$120,2,0),""))</f>
        <v/>
      </c>
      <c r="K322" s="216" t="str">
        <f ca="1">IFERROR(VLOOKUP($I322,'Institution Evaluation'!$A$55:$F$346,3,0),IFERROR(VLOOKUP($I322,'Privacy Analyst Evaluation'!$A$46:$F$120,3,0),""))&amp;""</f>
        <v/>
      </c>
      <c r="L322" s="216" t="str">
        <f ca="1">IFERROR(VLOOKUP($I322,'Institution Evaluation'!$A$55:$F$346,4,0),IFERROR(VLOOKUP($I322,'Privacy Analyst Evaluation'!$A$46:$F$120,4,0),""))&amp;""</f>
        <v/>
      </c>
      <c r="M322" s="216" t="str">
        <f ca="1">IFERROR(VLOOKUP($I322,'Institution Evaluation'!$A$55:$F$346,6,0),IFERROR(VLOOKUP($I322,'Privacy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ht="17">
      <c r="A323" s="216" t="str">
        <f>IFERROR(IF($A322+1&gt;'(backend scoring)'!$T$335,"",$A322+1),"")</f>
        <v/>
      </c>
      <c r="B323" s="216" t="e">
        <f ca="1">_xlfn.XLOOKUP($A323,'(backend scoring)'!$V$2:$V$333,'(backend scoring)'!$A$2:$A$333,"")</f>
        <v>#NAME?</v>
      </c>
      <c r="C323" s="216" t="str">
        <f ca="1">IFERROR(VLOOKUP($B323,'Institution Evaluation'!$A$55:$F$346,2,0),IFERROR(VLOOKUP($B323,'Privacy Analyst Evaluation'!$A$46:$F$120,2,0),""))&amp;""</f>
        <v/>
      </c>
      <c r="D323" s="216" t="str">
        <f ca="1">IFERROR(VLOOKUP($B323,'Institution Evaluation'!$A$55:$F$346,3,0),IFERROR(VLOOKUP($B323,'Privacy Analyst Evaluation'!$A$46:$F$120,3,0),""))&amp;""</f>
        <v/>
      </c>
      <c r="E323" s="216" t="str">
        <f ca="1">IFERROR(VLOOKUP($B323,'Institution Evaluation'!$A$55:$F$346,4,0),IFERROR(VLOOKUP($B323,'Privacy Analyst Evaluation'!$A$46:$F$120,4,0),""))&amp;""</f>
        <v/>
      </c>
      <c r="F323" s="216" t="str">
        <f ca="1">IFERROR(VLOOKUP($B323,'Institution Evaluation'!$A$55:$F$346,6,0),IFERROR(VLOOKUP($B323,'Privacy Analyst Evaluation'!$A$46:$F$120,6,0),""))&amp;""</f>
        <v/>
      </c>
      <c r="G323" s="217"/>
      <c r="H323" s="216" t="str">
        <f>IFERROR(IF($H322+1&gt;'(backend scoring)'!$Q$335,"",$H322+1),"")</f>
        <v/>
      </c>
      <c r="I323" s="216" t="e">
        <f ca="1">_xlfn.XLOOKUP($H323,'(backend scoring)'!$S$2:$S$333,'(backend scoring)'!$A$2:$A$333,"")</f>
        <v>#NAME?</v>
      </c>
      <c r="J323" s="216" t="str">
        <f ca="1">IFERROR(VLOOKUP($I323,'Institution Evaluation'!$A$55:$F$346,2,0),IFERROR(VLOOKUP($I323,'Privacy Analyst Evaluation'!$A$46:$F$120,2,0),""))</f>
        <v/>
      </c>
      <c r="K323" s="216" t="str">
        <f ca="1">IFERROR(VLOOKUP($I323,'Institution Evaluation'!$A$55:$F$346,3,0),IFERROR(VLOOKUP($I323,'Privacy Analyst Evaluation'!$A$46:$F$120,3,0),""))&amp;""</f>
        <v/>
      </c>
      <c r="L323" s="216" t="str">
        <f ca="1">IFERROR(VLOOKUP($I323,'Institution Evaluation'!$A$55:$F$346,4,0),IFERROR(VLOOKUP($I323,'Privacy Analyst Evaluation'!$A$46:$F$120,4,0),""))&amp;""</f>
        <v/>
      </c>
      <c r="M323" s="216" t="str">
        <f ca="1">IFERROR(VLOOKUP($I323,'Institution Evaluation'!$A$55:$F$346,6,0),IFERROR(VLOOKUP($I323,'Privacy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ht="17">
      <c r="A324" s="216" t="str">
        <f>IFERROR(IF($A323+1&gt;'(backend scoring)'!$T$335,"",$A323+1),"")</f>
        <v/>
      </c>
      <c r="B324" s="216" t="e">
        <f ca="1">_xlfn.XLOOKUP($A324,'(backend scoring)'!$V$2:$V$333,'(backend scoring)'!$A$2:$A$333,"")</f>
        <v>#NAME?</v>
      </c>
      <c r="C324" s="216" t="str">
        <f ca="1">IFERROR(VLOOKUP($B324,'Institution Evaluation'!$A$55:$F$346,2,0),IFERROR(VLOOKUP($B324,'Privacy Analyst Evaluation'!$A$46:$F$120,2,0),""))&amp;""</f>
        <v/>
      </c>
      <c r="D324" s="216" t="str">
        <f ca="1">IFERROR(VLOOKUP($B324,'Institution Evaluation'!$A$55:$F$346,3,0),IFERROR(VLOOKUP($B324,'Privacy Analyst Evaluation'!$A$46:$F$120,3,0),""))&amp;""</f>
        <v/>
      </c>
      <c r="E324" s="216" t="str">
        <f ca="1">IFERROR(VLOOKUP($B324,'Institution Evaluation'!$A$55:$F$346,4,0),IFERROR(VLOOKUP($B324,'Privacy Analyst Evaluation'!$A$46:$F$120,4,0),""))&amp;""</f>
        <v/>
      </c>
      <c r="F324" s="216" t="str">
        <f ca="1">IFERROR(VLOOKUP($B324,'Institution Evaluation'!$A$55:$F$346,6,0),IFERROR(VLOOKUP($B324,'Privacy Analyst Evaluation'!$A$46:$F$120,6,0),""))&amp;""</f>
        <v/>
      </c>
      <c r="G324" s="217"/>
      <c r="H324" s="216" t="str">
        <f>IFERROR(IF($H323+1&gt;'(backend scoring)'!$Q$335,"",$H323+1),"")</f>
        <v/>
      </c>
      <c r="I324" s="216" t="e">
        <f ca="1">_xlfn.XLOOKUP($H324,'(backend scoring)'!$S$2:$S$333,'(backend scoring)'!$A$2:$A$333,"")</f>
        <v>#NAME?</v>
      </c>
      <c r="J324" s="216" t="str">
        <f ca="1">IFERROR(VLOOKUP($I324,'Institution Evaluation'!$A$55:$F$346,2,0),IFERROR(VLOOKUP($I324,'Privacy Analyst Evaluation'!$A$46:$F$120,2,0),""))</f>
        <v/>
      </c>
      <c r="K324" s="216" t="str">
        <f ca="1">IFERROR(VLOOKUP($I324,'Institution Evaluation'!$A$55:$F$346,3,0),IFERROR(VLOOKUP($I324,'Privacy Analyst Evaluation'!$A$46:$F$120,3,0),""))&amp;""</f>
        <v/>
      </c>
      <c r="L324" s="216" t="str">
        <f ca="1">IFERROR(VLOOKUP($I324,'Institution Evaluation'!$A$55:$F$346,4,0),IFERROR(VLOOKUP($I324,'Privacy Analyst Evaluation'!$A$46:$F$120,4,0),""))&amp;""</f>
        <v/>
      </c>
      <c r="M324" s="216" t="str">
        <f ca="1">IFERROR(VLOOKUP($I324,'Institution Evaluation'!$A$55:$F$346,6,0),IFERROR(VLOOKUP($I324,'Privacy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ht="17">
      <c r="A325" s="216" t="str">
        <f>IFERROR(IF($A324+1&gt;'(backend scoring)'!$T$335,"",$A324+1),"")</f>
        <v/>
      </c>
      <c r="B325" s="216" t="e">
        <f ca="1">_xlfn.XLOOKUP($A325,'(backend scoring)'!$V$2:$V$333,'(backend scoring)'!$A$2:$A$333,"")</f>
        <v>#NAME?</v>
      </c>
      <c r="C325" s="216" t="str">
        <f ca="1">IFERROR(VLOOKUP($B325,'Institution Evaluation'!$A$55:$F$346,2,0),IFERROR(VLOOKUP($B325,'Privacy Analyst Evaluation'!$A$46:$F$120,2,0),""))&amp;""</f>
        <v/>
      </c>
      <c r="D325" s="216" t="str">
        <f ca="1">IFERROR(VLOOKUP($B325,'Institution Evaluation'!$A$55:$F$346,3,0),IFERROR(VLOOKUP($B325,'Privacy Analyst Evaluation'!$A$46:$F$120,3,0),""))&amp;""</f>
        <v/>
      </c>
      <c r="E325" s="216" t="str">
        <f ca="1">IFERROR(VLOOKUP($B325,'Institution Evaluation'!$A$55:$F$346,4,0),IFERROR(VLOOKUP($B325,'Privacy Analyst Evaluation'!$A$46:$F$120,4,0),""))&amp;""</f>
        <v/>
      </c>
      <c r="F325" s="216" t="str">
        <f ca="1">IFERROR(VLOOKUP($B325,'Institution Evaluation'!$A$55:$F$346,6,0),IFERROR(VLOOKUP($B325,'Privacy Analyst Evaluation'!$A$46:$F$120,6,0),""))&amp;""</f>
        <v/>
      </c>
      <c r="G325" s="217"/>
      <c r="H325" s="216" t="str">
        <f>IFERROR(IF($H324+1&gt;'(backend scoring)'!$Q$335,"",$H324+1),"")</f>
        <v/>
      </c>
      <c r="I325" s="216" t="e">
        <f ca="1">_xlfn.XLOOKUP($H325,'(backend scoring)'!$S$2:$S$333,'(backend scoring)'!$A$2:$A$333,"")</f>
        <v>#NAME?</v>
      </c>
      <c r="J325" s="216" t="str">
        <f ca="1">IFERROR(VLOOKUP($I325,'Institution Evaluation'!$A$55:$F$346,2,0),IFERROR(VLOOKUP($I325,'Privacy Analyst Evaluation'!$A$46:$F$120,2,0),""))</f>
        <v/>
      </c>
      <c r="K325" s="216" t="str">
        <f ca="1">IFERROR(VLOOKUP($I325,'Institution Evaluation'!$A$55:$F$346,3,0),IFERROR(VLOOKUP($I325,'Privacy Analyst Evaluation'!$A$46:$F$120,3,0),""))&amp;""</f>
        <v/>
      </c>
      <c r="L325" s="216" t="str">
        <f ca="1">IFERROR(VLOOKUP($I325,'Institution Evaluation'!$A$55:$F$346,4,0),IFERROR(VLOOKUP($I325,'Privacy Analyst Evaluation'!$A$46:$F$120,4,0),""))&amp;""</f>
        <v/>
      </c>
      <c r="M325" s="216" t="str">
        <f ca="1">IFERROR(VLOOKUP($I325,'Institution Evaluation'!$A$55:$F$346,6,0),IFERROR(VLOOKUP($I325,'Privacy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ht="17">
      <c r="A326" s="216" t="str">
        <f>IFERROR(IF($A325+1&gt;'(backend scoring)'!$T$335,"",$A325+1),"")</f>
        <v/>
      </c>
      <c r="B326" s="216" t="e">
        <f ca="1">_xlfn.XLOOKUP($A326,'(backend scoring)'!$V$2:$V$333,'(backend scoring)'!$A$2:$A$333,"")</f>
        <v>#NAME?</v>
      </c>
      <c r="C326" s="216" t="str">
        <f ca="1">IFERROR(VLOOKUP($B326,'Institution Evaluation'!$A$55:$F$346,2,0),IFERROR(VLOOKUP($B326,'Privacy Analyst Evaluation'!$A$46:$F$120,2,0),""))&amp;""</f>
        <v/>
      </c>
      <c r="D326" s="216" t="str">
        <f ca="1">IFERROR(VLOOKUP($B326,'Institution Evaluation'!$A$55:$F$346,3,0),IFERROR(VLOOKUP($B326,'Privacy Analyst Evaluation'!$A$46:$F$120,3,0),""))&amp;""</f>
        <v/>
      </c>
      <c r="E326" s="216" t="str">
        <f ca="1">IFERROR(VLOOKUP($B326,'Institution Evaluation'!$A$55:$F$346,4,0),IFERROR(VLOOKUP($B326,'Privacy Analyst Evaluation'!$A$46:$F$120,4,0),""))&amp;""</f>
        <v/>
      </c>
      <c r="F326" s="216" t="str">
        <f ca="1">IFERROR(VLOOKUP($B326,'Institution Evaluation'!$A$55:$F$346,6,0),IFERROR(VLOOKUP($B326,'Privacy Analyst Evaluation'!$A$46:$F$120,6,0),""))&amp;""</f>
        <v/>
      </c>
      <c r="G326" s="217"/>
      <c r="H326" s="216" t="str">
        <f>IFERROR(IF($H325+1&gt;'(backend scoring)'!$Q$335,"",$H325+1),"")</f>
        <v/>
      </c>
      <c r="I326" s="216" t="e">
        <f ca="1">_xlfn.XLOOKUP($H326,'(backend scoring)'!$S$2:$S$333,'(backend scoring)'!$A$2:$A$333,"")</f>
        <v>#NAME?</v>
      </c>
      <c r="J326" s="216" t="str">
        <f ca="1">IFERROR(VLOOKUP($I326,'Institution Evaluation'!$A$55:$F$346,2,0),IFERROR(VLOOKUP($I326,'Privacy Analyst Evaluation'!$A$46:$F$120,2,0),""))</f>
        <v/>
      </c>
      <c r="K326" s="216" t="str">
        <f ca="1">IFERROR(VLOOKUP($I326,'Institution Evaluation'!$A$55:$F$346,3,0),IFERROR(VLOOKUP($I326,'Privacy Analyst Evaluation'!$A$46:$F$120,3,0),""))&amp;""</f>
        <v/>
      </c>
      <c r="L326" s="216" t="str">
        <f ca="1">IFERROR(VLOOKUP($I326,'Institution Evaluation'!$A$55:$F$346,4,0),IFERROR(VLOOKUP($I326,'Privacy Analyst Evaluation'!$A$46:$F$120,4,0),""))&amp;""</f>
        <v/>
      </c>
      <c r="M326" s="216" t="str">
        <f ca="1">IFERROR(VLOOKUP($I326,'Institution Evaluation'!$A$55:$F$346,6,0),IFERROR(VLOOKUP($I326,'Privacy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ht="17">
      <c r="A327" s="216" t="str">
        <f>IFERROR(IF($A326+1&gt;'(backend scoring)'!$T$335,"",$A326+1),"")</f>
        <v/>
      </c>
      <c r="B327" s="216" t="e">
        <f ca="1">_xlfn.XLOOKUP($A327,'(backend scoring)'!$V$2:$V$333,'(backend scoring)'!$A$2:$A$333,"")</f>
        <v>#NAME?</v>
      </c>
      <c r="C327" s="216" t="str">
        <f ca="1">IFERROR(VLOOKUP($B327,'Institution Evaluation'!$A$55:$F$346,2,0),IFERROR(VLOOKUP($B327,'Privacy Analyst Evaluation'!$A$46:$F$120,2,0),""))&amp;""</f>
        <v/>
      </c>
      <c r="D327" s="216" t="str">
        <f ca="1">IFERROR(VLOOKUP($B327,'Institution Evaluation'!$A$55:$F$346,3,0),IFERROR(VLOOKUP($B327,'Privacy Analyst Evaluation'!$A$46:$F$120,3,0),""))&amp;""</f>
        <v/>
      </c>
      <c r="E327" s="216" t="str">
        <f ca="1">IFERROR(VLOOKUP($B327,'Institution Evaluation'!$A$55:$F$346,4,0),IFERROR(VLOOKUP($B327,'Privacy Analyst Evaluation'!$A$46:$F$120,4,0),""))&amp;""</f>
        <v/>
      </c>
      <c r="F327" s="216" t="str">
        <f ca="1">IFERROR(VLOOKUP($B327,'Institution Evaluation'!$A$55:$F$346,6,0),IFERROR(VLOOKUP($B327,'Privacy Analyst Evaluation'!$A$46:$F$120,6,0),""))&amp;""</f>
        <v/>
      </c>
      <c r="G327" s="217"/>
      <c r="H327" s="216" t="str">
        <f>IFERROR(IF($H326+1&gt;'(backend scoring)'!$Q$335,"",$H326+1),"")</f>
        <v/>
      </c>
      <c r="I327" s="216" t="e">
        <f ca="1">_xlfn.XLOOKUP($H327,'(backend scoring)'!$S$2:$S$333,'(backend scoring)'!$A$2:$A$333,"")</f>
        <v>#NAME?</v>
      </c>
      <c r="J327" s="216" t="str">
        <f ca="1">IFERROR(VLOOKUP($I327,'Institution Evaluation'!$A$55:$F$346,2,0),IFERROR(VLOOKUP($I327,'Privacy Analyst Evaluation'!$A$46:$F$120,2,0),""))</f>
        <v/>
      </c>
      <c r="K327" s="216" t="str">
        <f ca="1">IFERROR(VLOOKUP($I327,'Institution Evaluation'!$A$55:$F$346,3,0),IFERROR(VLOOKUP($I327,'Privacy Analyst Evaluation'!$A$46:$F$120,3,0),""))&amp;""</f>
        <v/>
      </c>
      <c r="L327" s="216" t="str">
        <f ca="1">IFERROR(VLOOKUP($I327,'Institution Evaluation'!$A$55:$F$346,4,0),IFERROR(VLOOKUP($I327,'Privacy Analyst Evaluation'!$A$46:$F$120,4,0),""))&amp;""</f>
        <v/>
      </c>
      <c r="M327" s="216" t="str">
        <f ca="1">IFERROR(VLOOKUP($I327,'Institution Evaluation'!$A$55:$F$346,6,0),IFERROR(VLOOKUP($I327,'Privacy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ht="17">
      <c r="A328" s="216" t="str">
        <f>IFERROR(IF($A327+1&gt;'(backend scoring)'!$T$335,"",$A327+1),"")</f>
        <v/>
      </c>
      <c r="B328" s="216" t="e">
        <f ca="1">_xlfn.XLOOKUP($A328,'(backend scoring)'!$V$2:$V$333,'(backend scoring)'!$A$2:$A$333,"")</f>
        <v>#NAME?</v>
      </c>
      <c r="C328" s="216" t="str">
        <f ca="1">IFERROR(VLOOKUP($B328,'Institution Evaluation'!$A$55:$F$346,2,0),IFERROR(VLOOKUP($B328,'Privacy Analyst Evaluation'!$A$46:$F$120,2,0),""))&amp;""</f>
        <v/>
      </c>
      <c r="D328" s="216" t="str">
        <f ca="1">IFERROR(VLOOKUP($B328,'Institution Evaluation'!$A$55:$F$346,3,0),IFERROR(VLOOKUP($B328,'Privacy Analyst Evaluation'!$A$46:$F$120,3,0),""))&amp;""</f>
        <v/>
      </c>
      <c r="E328" s="216" t="str">
        <f ca="1">IFERROR(VLOOKUP($B328,'Institution Evaluation'!$A$55:$F$346,4,0),IFERROR(VLOOKUP($B328,'Privacy Analyst Evaluation'!$A$46:$F$120,4,0),""))&amp;""</f>
        <v/>
      </c>
      <c r="F328" s="216" t="str">
        <f ca="1">IFERROR(VLOOKUP($B328,'Institution Evaluation'!$A$55:$F$346,6,0),IFERROR(VLOOKUP($B328,'Privacy Analyst Evaluation'!$A$46:$F$120,6,0),""))&amp;""</f>
        <v/>
      </c>
      <c r="G328" s="217"/>
      <c r="H328" s="216" t="str">
        <f>IFERROR(IF($H327+1&gt;'(backend scoring)'!$Q$335,"",$H327+1),"")</f>
        <v/>
      </c>
      <c r="I328" s="216" t="e">
        <f ca="1">_xlfn.XLOOKUP($H328,'(backend scoring)'!$S$2:$S$333,'(backend scoring)'!$A$2:$A$333,"")</f>
        <v>#NAME?</v>
      </c>
      <c r="J328" s="216" t="str">
        <f ca="1">IFERROR(VLOOKUP($I328,'Institution Evaluation'!$A$55:$F$346,2,0),IFERROR(VLOOKUP($I328,'Privacy Analyst Evaluation'!$A$46:$F$120,2,0),""))</f>
        <v/>
      </c>
      <c r="K328" s="216" t="str">
        <f ca="1">IFERROR(VLOOKUP($I328,'Institution Evaluation'!$A$55:$F$346,3,0),IFERROR(VLOOKUP($I328,'Privacy Analyst Evaluation'!$A$46:$F$120,3,0),""))&amp;""</f>
        <v/>
      </c>
      <c r="L328" s="216" t="str">
        <f ca="1">IFERROR(VLOOKUP($I328,'Institution Evaluation'!$A$55:$F$346,4,0),IFERROR(VLOOKUP($I328,'Privacy Analyst Evaluation'!$A$46:$F$120,4,0),""))&amp;""</f>
        <v/>
      </c>
      <c r="M328" s="216" t="str">
        <f ca="1">IFERROR(VLOOKUP($I328,'Institution Evaluation'!$A$55:$F$346,6,0),IFERROR(VLOOKUP($I328,'Privacy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ht="17">
      <c r="A329" s="216" t="str">
        <f>IFERROR(IF($A328+1&gt;'(backend scoring)'!$T$335,"",$A328+1),"")</f>
        <v/>
      </c>
      <c r="B329" s="216" t="e">
        <f ca="1">_xlfn.XLOOKUP($A329,'(backend scoring)'!$V$2:$V$333,'(backend scoring)'!$A$2:$A$333,"")</f>
        <v>#NAME?</v>
      </c>
      <c r="C329" s="216" t="str">
        <f ca="1">IFERROR(VLOOKUP($B329,'Institution Evaluation'!$A$55:$F$346,2,0),IFERROR(VLOOKUP($B329,'Privacy Analyst Evaluation'!$A$46:$F$120,2,0),""))&amp;""</f>
        <v/>
      </c>
      <c r="D329" s="216" t="str">
        <f ca="1">IFERROR(VLOOKUP($B329,'Institution Evaluation'!$A$55:$F$346,3,0),IFERROR(VLOOKUP($B329,'Privacy Analyst Evaluation'!$A$46:$F$120,3,0),""))&amp;""</f>
        <v/>
      </c>
      <c r="E329" s="216" t="str">
        <f ca="1">IFERROR(VLOOKUP($B329,'Institution Evaluation'!$A$55:$F$346,4,0),IFERROR(VLOOKUP($B329,'Privacy Analyst Evaluation'!$A$46:$F$120,4,0),""))&amp;""</f>
        <v/>
      </c>
      <c r="F329" s="216" t="str">
        <f ca="1">IFERROR(VLOOKUP($B329,'Institution Evaluation'!$A$55:$F$346,6,0),IFERROR(VLOOKUP($B329,'Privacy Analyst Evaluation'!$A$46:$F$120,6,0),""))&amp;""</f>
        <v/>
      </c>
      <c r="G329" s="217"/>
      <c r="H329" s="216" t="str">
        <f>IFERROR(IF($H328+1&gt;'(backend scoring)'!$Q$335,"",$H328+1),"")</f>
        <v/>
      </c>
      <c r="I329" s="216" t="e">
        <f ca="1">_xlfn.XLOOKUP($H329,'(backend scoring)'!$S$2:$S$333,'(backend scoring)'!$A$2:$A$333,"")</f>
        <v>#NAME?</v>
      </c>
      <c r="J329" s="216" t="str">
        <f ca="1">IFERROR(VLOOKUP($I329,'Institution Evaluation'!$A$55:$F$346,2,0),IFERROR(VLOOKUP($I329,'Privacy Analyst Evaluation'!$A$46:$F$120,2,0),""))</f>
        <v/>
      </c>
      <c r="K329" s="216" t="str">
        <f ca="1">IFERROR(VLOOKUP($I329,'Institution Evaluation'!$A$55:$F$346,3,0),IFERROR(VLOOKUP($I329,'Privacy Analyst Evaluation'!$A$46:$F$120,3,0),""))&amp;""</f>
        <v/>
      </c>
      <c r="L329" s="216" t="str">
        <f ca="1">IFERROR(VLOOKUP($I329,'Institution Evaluation'!$A$55:$F$346,4,0),IFERROR(VLOOKUP($I329,'Privacy Analyst Evaluation'!$A$46:$F$120,4,0),""))&amp;""</f>
        <v/>
      </c>
      <c r="M329" s="216" t="str">
        <f ca="1">IFERROR(VLOOKUP($I329,'Institution Evaluation'!$A$55:$F$346,6,0),IFERROR(VLOOKUP($I329,'Privacy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ht="17">
      <c r="A330" s="216" t="str">
        <f>IFERROR(IF($A329+1&gt;'(backend scoring)'!$T$335,"",$A329+1),"")</f>
        <v/>
      </c>
      <c r="B330" s="216" t="e">
        <f ca="1">_xlfn.XLOOKUP($A330,'(backend scoring)'!$V$2:$V$333,'(backend scoring)'!$A$2:$A$333,"")</f>
        <v>#NAME?</v>
      </c>
      <c r="C330" s="216" t="str">
        <f ca="1">IFERROR(VLOOKUP($B330,'Institution Evaluation'!$A$55:$F$346,2,0),IFERROR(VLOOKUP($B330,'Privacy Analyst Evaluation'!$A$46:$F$120,2,0),""))&amp;""</f>
        <v/>
      </c>
      <c r="D330" s="216" t="str">
        <f ca="1">IFERROR(VLOOKUP($B330,'Institution Evaluation'!$A$55:$F$346,3,0),IFERROR(VLOOKUP($B330,'Privacy Analyst Evaluation'!$A$46:$F$120,3,0),""))&amp;""</f>
        <v/>
      </c>
      <c r="E330" s="216" t="str">
        <f ca="1">IFERROR(VLOOKUP($B330,'Institution Evaluation'!$A$55:$F$346,4,0),IFERROR(VLOOKUP($B330,'Privacy Analyst Evaluation'!$A$46:$F$120,4,0),""))&amp;""</f>
        <v/>
      </c>
      <c r="F330" s="216" t="str">
        <f ca="1">IFERROR(VLOOKUP($B330,'Institution Evaluation'!$A$55:$F$346,6,0),IFERROR(VLOOKUP($B330,'Privacy Analyst Evaluation'!$A$46:$F$120,6,0),""))&amp;""</f>
        <v/>
      </c>
      <c r="G330" s="217"/>
      <c r="H330" s="216" t="str">
        <f>IFERROR(IF($H329+1&gt;'(backend scoring)'!$Q$335,"",$H329+1),"")</f>
        <v/>
      </c>
      <c r="I330" s="216" t="e">
        <f ca="1">_xlfn.XLOOKUP($H330,'(backend scoring)'!$S$2:$S$333,'(backend scoring)'!$A$2:$A$333,"")</f>
        <v>#NAME?</v>
      </c>
      <c r="J330" s="216" t="str">
        <f ca="1">IFERROR(VLOOKUP($I330,'Institution Evaluation'!$A$55:$F$346,2,0),IFERROR(VLOOKUP($I330,'Privacy Analyst Evaluation'!$A$46:$F$120,2,0),""))</f>
        <v/>
      </c>
      <c r="K330" s="216" t="str">
        <f ca="1">IFERROR(VLOOKUP($I330,'Institution Evaluation'!$A$55:$F$346,3,0),IFERROR(VLOOKUP($I330,'Privacy Analyst Evaluation'!$A$46:$F$120,3,0),""))&amp;""</f>
        <v/>
      </c>
      <c r="L330" s="216" t="str">
        <f ca="1">IFERROR(VLOOKUP($I330,'Institution Evaluation'!$A$55:$F$346,4,0),IFERROR(VLOOKUP($I330,'Privacy Analyst Evaluation'!$A$46:$F$120,4,0),""))&amp;""</f>
        <v/>
      </c>
      <c r="M330" s="216" t="str">
        <f ca="1">IFERROR(VLOOKUP($I330,'Institution Evaluation'!$A$55:$F$346,6,0),IFERROR(VLOOKUP($I330,'Privacy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ht="17">
      <c r="A331" s="216" t="str">
        <f>IFERROR(IF($A330+1&gt;'(backend scoring)'!$T$335,"",$A330+1),"")</f>
        <v/>
      </c>
      <c r="B331" s="216" t="e">
        <f ca="1">_xlfn.XLOOKUP($A331,'(backend scoring)'!$V$2:$V$333,'(backend scoring)'!$A$2:$A$333,"")</f>
        <v>#NAME?</v>
      </c>
      <c r="C331" s="216" t="str">
        <f ca="1">IFERROR(VLOOKUP($B331,'Institution Evaluation'!$A$55:$F$346,2,0),IFERROR(VLOOKUP($B331,'Privacy Analyst Evaluation'!$A$46:$F$120,2,0),""))&amp;""</f>
        <v/>
      </c>
      <c r="D331" s="216" t="str">
        <f ca="1">IFERROR(VLOOKUP($B331,'Institution Evaluation'!$A$55:$F$346,3,0),IFERROR(VLOOKUP($B331,'Privacy Analyst Evaluation'!$A$46:$F$120,3,0),""))&amp;""</f>
        <v/>
      </c>
      <c r="E331" s="216" t="str">
        <f ca="1">IFERROR(VLOOKUP($B331,'Institution Evaluation'!$A$55:$F$346,4,0),IFERROR(VLOOKUP($B331,'Privacy Analyst Evaluation'!$A$46:$F$120,4,0),""))&amp;""</f>
        <v/>
      </c>
      <c r="F331" s="216" t="str">
        <f ca="1">IFERROR(VLOOKUP($B331,'Institution Evaluation'!$A$55:$F$346,6,0),IFERROR(VLOOKUP($B331,'Privacy Analyst Evaluation'!$A$46:$F$120,6,0),""))&amp;""</f>
        <v/>
      </c>
      <c r="G331" s="217"/>
      <c r="H331" s="216" t="str">
        <f>IFERROR(IF($H330+1&gt;'(backend scoring)'!$Q$335,"",$H330+1),"")</f>
        <v/>
      </c>
      <c r="I331" s="216" t="e">
        <f ca="1">_xlfn.XLOOKUP($H331,'(backend scoring)'!$S$2:$S$333,'(backend scoring)'!$A$2:$A$333,"")</f>
        <v>#NAME?</v>
      </c>
      <c r="J331" s="216" t="str">
        <f ca="1">IFERROR(VLOOKUP($I331,'Institution Evaluation'!$A$55:$F$346,2,0),IFERROR(VLOOKUP($I331,'Privacy Analyst Evaluation'!$A$46:$F$120,2,0),""))</f>
        <v/>
      </c>
      <c r="K331" s="216" t="str">
        <f ca="1">IFERROR(VLOOKUP($I331,'Institution Evaluation'!$A$55:$F$346,3,0),IFERROR(VLOOKUP($I331,'Privacy Analyst Evaluation'!$A$46:$F$120,3,0),""))&amp;""</f>
        <v/>
      </c>
      <c r="L331" s="216" t="str">
        <f ca="1">IFERROR(VLOOKUP($I331,'Institution Evaluation'!$A$55:$F$346,4,0),IFERROR(VLOOKUP($I331,'Privacy Analyst Evaluation'!$A$46:$F$120,4,0),""))&amp;""</f>
        <v/>
      </c>
      <c r="M331" s="216" t="str">
        <f ca="1">IFERROR(VLOOKUP($I331,'Institution Evaluation'!$A$55:$F$346,6,0),IFERROR(VLOOKUP($I331,'Privacy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ht="17">
      <c r="A332" s="216" t="str">
        <f>IFERROR(IF($A331+1&gt;'(backend scoring)'!$T$335,"",$A331+1),"")</f>
        <v/>
      </c>
      <c r="B332" s="216" t="e">
        <f ca="1">_xlfn.XLOOKUP($A332,'(backend scoring)'!$V$2:$V$333,'(backend scoring)'!$A$2:$A$333,"")</f>
        <v>#NAME?</v>
      </c>
      <c r="C332" s="216" t="str">
        <f ca="1">IFERROR(VLOOKUP($B332,'Institution Evaluation'!$A$55:$F$346,2,0),IFERROR(VLOOKUP($B332,'Privacy Analyst Evaluation'!$A$46:$F$120,2,0),""))&amp;""</f>
        <v/>
      </c>
      <c r="D332" s="216" t="str">
        <f ca="1">IFERROR(VLOOKUP($B332,'Institution Evaluation'!$A$55:$F$346,3,0),IFERROR(VLOOKUP($B332,'Privacy Analyst Evaluation'!$A$46:$F$120,3,0),""))&amp;""</f>
        <v/>
      </c>
      <c r="E332" s="216" t="str">
        <f ca="1">IFERROR(VLOOKUP($B332,'Institution Evaluation'!$A$55:$F$346,4,0),IFERROR(VLOOKUP($B332,'Privacy Analyst Evaluation'!$A$46:$F$120,4,0),""))&amp;""</f>
        <v/>
      </c>
      <c r="F332" s="216" t="str">
        <f ca="1">IFERROR(VLOOKUP($B332,'Institution Evaluation'!$A$55:$F$346,6,0),IFERROR(VLOOKUP($B332,'Privacy Analyst Evaluation'!$A$46:$F$120,6,0),""))&amp;""</f>
        <v/>
      </c>
      <c r="G332" s="217"/>
      <c r="H332" s="216" t="str">
        <f>IFERROR(IF($H331+1&gt;'(backend scoring)'!$Q$335,"",$H331+1),"")</f>
        <v/>
      </c>
      <c r="I332" s="216" t="e">
        <f ca="1">_xlfn.XLOOKUP($H332,'(backend scoring)'!$S$2:$S$333,'(backend scoring)'!$A$2:$A$333,"")</f>
        <v>#NAME?</v>
      </c>
      <c r="J332" s="216" t="str">
        <f ca="1">IFERROR(VLOOKUP($I332,'Institution Evaluation'!$A$55:$F$346,2,0),IFERROR(VLOOKUP($I332,'Privacy Analyst Evaluation'!$A$46:$F$120,2,0),""))</f>
        <v/>
      </c>
      <c r="K332" s="216" t="str">
        <f ca="1">IFERROR(VLOOKUP($I332,'Institution Evaluation'!$A$55:$F$346,3,0),IFERROR(VLOOKUP($I332,'Privacy Analyst Evaluation'!$A$46:$F$120,3,0),""))&amp;""</f>
        <v/>
      </c>
      <c r="L332" s="216" t="str">
        <f ca="1">IFERROR(VLOOKUP($I332,'Institution Evaluation'!$A$55:$F$346,4,0),IFERROR(VLOOKUP($I332,'Privacy Analyst Evaluation'!$A$46:$F$120,4,0),""))&amp;""</f>
        <v/>
      </c>
      <c r="M332" s="216" t="str">
        <f ca="1">IFERROR(VLOOKUP($I332,'Institution Evaluation'!$A$55:$F$346,6,0),IFERROR(VLOOKUP($I332,'Privacy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ht="17">
      <c r="A333" s="216" t="str">
        <f>IFERROR(IF($A332+1&gt;'(backend scoring)'!$T$335,"",$A332+1),"")</f>
        <v/>
      </c>
      <c r="B333" s="216" t="e">
        <f ca="1">_xlfn.XLOOKUP($A333,'(backend scoring)'!$V$2:$V$333,'(backend scoring)'!$A$2:$A$333,"")</f>
        <v>#NAME?</v>
      </c>
      <c r="C333" s="216" t="str">
        <f ca="1">IFERROR(VLOOKUP($B333,'Institution Evaluation'!$A$55:$F$346,2,0),IFERROR(VLOOKUP($B333,'Privacy Analyst Evaluation'!$A$46:$F$120,2,0),""))&amp;""</f>
        <v/>
      </c>
      <c r="D333" s="216" t="str">
        <f ca="1">IFERROR(VLOOKUP($B333,'Institution Evaluation'!$A$55:$F$346,3,0),IFERROR(VLOOKUP($B333,'Privacy Analyst Evaluation'!$A$46:$F$120,3,0),""))&amp;""</f>
        <v/>
      </c>
      <c r="E333" s="216" t="str">
        <f ca="1">IFERROR(VLOOKUP($B333,'Institution Evaluation'!$A$55:$F$346,4,0),IFERROR(VLOOKUP($B333,'Privacy Analyst Evaluation'!$A$46:$F$120,4,0),""))&amp;""</f>
        <v/>
      </c>
      <c r="F333" s="216" t="str">
        <f ca="1">IFERROR(VLOOKUP($B333,'Institution Evaluation'!$A$55:$F$346,6,0),IFERROR(VLOOKUP($B333,'Privacy Analyst Evaluation'!$A$46:$F$120,6,0),""))&amp;""</f>
        <v/>
      </c>
      <c r="G333" s="217"/>
      <c r="H333" s="216" t="str">
        <f>IFERROR(IF($H332+1&gt;'(backend scoring)'!$Q$335,"",$H332+1),"")</f>
        <v/>
      </c>
      <c r="I333" s="216" t="e">
        <f ca="1">_xlfn.XLOOKUP($H333,'(backend scoring)'!$S$2:$S$333,'(backend scoring)'!$A$2:$A$333,"")</f>
        <v>#NAME?</v>
      </c>
      <c r="J333" s="216" t="str">
        <f ca="1">IFERROR(VLOOKUP($I333,'Institution Evaluation'!$A$55:$F$346,2,0),IFERROR(VLOOKUP($I333,'Privacy Analyst Evaluation'!$A$46:$F$120,2,0),""))</f>
        <v/>
      </c>
      <c r="K333" s="216" t="str">
        <f ca="1">IFERROR(VLOOKUP($I333,'Institution Evaluation'!$A$55:$F$346,3,0),IFERROR(VLOOKUP($I333,'Privacy Analyst Evaluation'!$A$46:$F$120,3,0),""))&amp;""</f>
        <v/>
      </c>
      <c r="L333" s="216" t="str">
        <f ca="1">IFERROR(VLOOKUP($I333,'Institution Evaluation'!$A$55:$F$346,4,0),IFERROR(VLOOKUP($I333,'Privacy Analyst Evaluation'!$A$46:$F$120,4,0),""))&amp;""</f>
        <v/>
      </c>
      <c r="M333" s="216" t="str">
        <f ca="1">IFERROR(VLOOKUP($I333,'Institution Evaluation'!$A$55:$F$346,6,0),IFERROR(VLOOKUP($I333,'Privacy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ht="17">
      <c r="A334" s="216" t="str">
        <f>IFERROR(IF($A333+1&gt;'(backend scoring)'!$T$335,"",$A333+1),"")</f>
        <v/>
      </c>
      <c r="B334" s="216" t="e">
        <f ca="1">_xlfn.XLOOKUP($A334,'(backend scoring)'!$V$2:$V$333,'(backend scoring)'!$A$2:$A$333,"")</f>
        <v>#NAME?</v>
      </c>
      <c r="C334" s="216" t="str">
        <f ca="1">IFERROR(VLOOKUP($B334,'Institution Evaluation'!$A$55:$F$346,2,0),IFERROR(VLOOKUP($B334,'Privacy Analyst Evaluation'!$A$46:$F$120,2,0),""))&amp;""</f>
        <v/>
      </c>
      <c r="D334" s="216" t="str">
        <f ca="1">IFERROR(VLOOKUP($B334,'Institution Evaluation'!$A$55:$F$346,3,0),IFERROR(VLOOKUP($B334,'Privacy Analyst Evaluation'!$A$46:$F$120,3,0),""))&amp;""</f>
        <v/>
      </c>
      <c r="E334" s="216" t="str">
        <f ca="1">IFERROR(VLOOKUP($B334,'Institution Evaluation'!$A$55:$F$346,4,0),IFERROR(VLOOKUP($B334,'Privacy Analyst Evaluation'!$A$46:$F$120,4,0),""))&amp;""</f>
        <v/>
      </c>
      <c r="F334" s="216" t="str">
        <f ca="1">IFERROR(VLOOKUP($B334,'Institution Evaluation'!$A$55:$F$346,6,0),IFERROR(VLOOKUP($B334,'Privacy Analyst Evaluation'!$A$46:$F$120,6,0),""))&amp;""</f>
        <v/>
      </c>
      <c r="G334" s="217"/>
      <c r="H334" s="216" t="str">
        <f>IFERROR(IF($H333+1&gt;'(backend scoring)'!$Q$335,"",$H333+1),"")</f>
        <v/>
      </c>
      <c r="I334" s="216" t="e">
        <f ca="1">_xlfn.XLOOKUP($H334,'(backend scoring)'!$S$2:$S$333,'(backend scoring)'!$A$2:$A$333,"")</f>
        <v>#NAME?</v>
      </c>
      <c r="J334" s="216" t="str">
        <f ca="1">IFERROR(VLOOKUP($I334,'Institution Evaluation'!$A$55:$F$346,2,0),IFERROR(VLOOKUP($I334,'Privacy Analyst Evaluation'!$A$46:$F$120,2,0),""))</f>
        <v/>
      </c>
      <c r="K334" s="216" t="str">
        <f ca="1">IFERROR(VLOOKUP($I334,'Institution Evaluation'!$A$55:$F$346,3,0),IFERROR(VLOOKUP($I334,'Privacy Analyst Evaluation'!$A$46:$F$120,3,0),""))&amp;""</f>
        <v/>
      </c>
      <c r="L334" s="216" t="str">
        <f ca="1">IFERROR(VLOOKUP($I334,'Institution Evaluation'!$A$55:$F$346,4,0),IFERROR(VLOOKUP($I334,'Privacy Analyst Evaluation'!$A$46:$F$120,4,0),""))&amp;""</f>
        <v/>
      </c>
      <c r="M334" s="216" t="str">
        <f ca="1">IFERROR(VLOOKUP($I334,'Institution Evaluation'!$A$55:$F$346,6,0),IFERROR(VLOOKUP($I334,'Privacy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ht="17">
      <c r="A335" s="216" t="str">
        <f>IFERROR(IF($A334+1&gt;'(backend scoring)'!$T$335,"",$A334+1),"")</f>
        <v/>
      </c>
      <c r="B335" s="216" t="e">
        <f ca="1">_xlfn.XLOOKUP($A335,'(backend scoring)'!$V$2:$V$333,'(backend scoring)'!$A$2:$A$333,"")</f>
        <v>#NAME?</v>
      </c>
      <c r="C335" s="216" t="str">
        <f ca="1">IFERROR(VLOOKUP($B335,'Institution Evaluation'!$A$55:$F$346,2,0),IFERROR(VLOOKUP($B335,'Privacy Analyst Evaluation'!$A$46:$F$120,2,0),""))&amp;""</f>
        <v/>
      </c>
      <c r="D335" s="216" t="str">
        <f ca="1">IFERROR(VLOOKUP($B335,'Institution Evaluation'!$A$55:$F$346,3,0),IFERROR(VLOOKUP($B335,'Privacy Analyst Evaluation'!$A$46:$F$120,3,0),""))&amp;""</f>
        <v/>
      </c>
      <c r="E335" s="216" t="str">
        <f ca="1">IFERROR(VLOOKUP($B335,'Institution Evaluation'!$A$55:$F$346,4,0),IFERROR(VLOOKUP($B335,'Privacy Analyst Evaluation'!$A$46:$F$120,4,0),""))&amp;""</f>
        <v/>
      </c>
      <c r="F335" s="216" t="str">
        <f ca="1">IFERROR(VLOOKUP($B335,'Institution Evaluation'!$A$55:$F$346,6,0),IFERROR(VLOOKUP($B335,'Privacy Analyst Evaluation'!$A$46:$F$120,6,0),""))&amp;""</f>
        <v/>
      </c>
      <c r="G335" s="217"/>
      <c r="H335" s="216" t="str">
        <f>IFERROR(IF($H334+1&gt;'(backend scoring)'!$Q$335,"",$H334+1),"")</f>
        <v/>
      </c>
      <c r="I335" s="216" t="e">
        <f ca="1">_xlfn.XLOOKUP($H335,'(backend scoring)'!$S$2:$S$333,'(backend scoring)'!$A$2:$A$333,"")</f>
        <v>#NAME?</v>
      </c>
      <c r="J335" s="216" t="str">
        <f ca="1">IFERROR(VLOOKUP($I335,'Institution Evaluation'!$A$55:$F$346,2,0),IFERROR(VLOOKUP($I335,'Privacy Analyst Evaluation'!$A$46:$F$120,2,0),""))</f>
        <v/>
      </c>
      <c r="K335" s="216" t="str">
        <f ca="1">IFERROR(VLOOKUP($I335,'Institution Evaluation'!$A$55:$F$346,3,0),IFERROR(VLOOKUP($I335,'Privacy Analyst Evaluation'!$A$46:$F$120,3,0),""))&amp;""</f>
        <v/>
      </c>
      <c r="L335" s="216" t="str">
        <f ca="1">IFERROR(VLOOKUP($I335,'Institution Evaluation'!$A$55:$F$346,4,0),IFERROR(VLOOKUP($I335,'Privacy Analyst Evaluation'!$A$46:$F$120,4,0),""))&amp;""</f>
        <v/>
      </c>
      <c r="M335" s="216" t="str">
        <f ca="1">IFERROR(VLOOKUP($I335,'Institution Evaluation'!$A$55:$F$346,6,0),IFERROR(VLOOKUP($I335,'Privacy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ht="17">
      <c r="A336" s="216" t="str">
        <f>IFERROR(IF($A335+1&gt;'(backend scoring)'!$T$335,"",$A335+1),"")</f>
        <v/>
      </c>
      <c r="B336" s="216" t="e">
        <f ca="1">_xlfn.XLOOKUP($A336,'(backend scoring)'!$V$2:$V$333,'(backend scoring)'!$A$2:$A$333,"")</f>
        <v>#NAME?</v>
      </c>
      <c r="C336" s="216" t="str">
        <f ca="1">IFERROR(VLOOKUP($B336,'Institution Evaluation'!$A$55:$F$346,2,0),IFERROR(VLOOKUP($B336,'Privacy Analyst Evaluation'!$A$46:$F$120,2,0),""))&amp;""</f>
        <v/>
      </c>
      <c r="D336" s="216" t="str">
        <f ca="1">IFERROR(VLOOKUP($B336,'Institution Evaluation'!$A$55:$F$346,3,0),IFERROR(VLOOKUP($B336,'Privacy Analyst Evaluation'!$A$46:$F$120,3,0),""))&amp;""</f>
        <v/>
      </c>
      <c r="E336" s="216" t="str">
        <f ca="1">IFERROR(VLOOKUP($B336,'Institution Evaluation'!$A$55:$F$346,4,0),IFERROR(VLOOKUP($B336,'Privacy Analyst Evaluation'!$A$46:$F$120,4,0),""))&amp;""</f>
        <v/>
      </c>
      <c r="F336" s="216" t="str">
        <f ca="1">IFERROR(VLOOKUP($B336,'Institution Evaluation'!$A$55:$F$346,6,0),IFERROR(VLOOKUP($B336,'Privacy Analyst Evaluation'!$A$46:$F$120,6,0),""))&amp;""</f>
        <v/>
      </c>
      <c r="G336" s="217"/>
      <c r="H336" s="216" t="str">
        <f>IFERROR(IF($H335+1&gt;'(backend scoring)'!$Q$335,"",$H335+1),"")</f>
        <v/>
      </c>
      <c r="I336" s="216" t="e">
        <f ca="1">_xlfn.XLOOKUP($H336,'(backend scoring)'!$S$2:$S$333,'(backend scoring)'!$A$2:$A$333,"")</f>
        <v>#NAME?</v>
      </c>
      <c r="J336" s="216" t="str">
        <f ca="1">IFERROR(VLOOKUP($I336,'Institution Evaluation'!$A$55:$F$346,2,0),IFERROR(VLOOKUP($I336,'Privacy Analyst Evaluation'!$A$46:$F$120,2,0),""))</f>
        <v/>
      </c>
      <c r="K336" s="216" t="str">
        <f ca="1">IFERROR(VLOOKUP($I336,'Institution Evaluation'!$A$55:$F$346,3,0),IFERROR(VLOOKUP($I336,'Privacy Analyst Evaluation'!$A$46:$F$120,3,0),""))&amp;""</f>
        <v/>
      </c>
      <c r="L336" s="216" t="str">
        <f ca="1">IFERROR(VLOOKUP($I336,'Institution Evaluation'!$A$55:$F$346,4,0),IFERROR(VLOOKUP($I336,'Privacy Analyst Evaluation'!$A$46:$F$120,4,0),""))&amp;""</f>
        <v/>
      </c>
      <c r="M336" s="216" t="str">
        <f ca="1">IFERROR(VLOOKUP($I336,'Institution Evaluation'!$A$55:$F$346,6,0),IFERROR(VLOOKUP($I336,'Privacy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ht="17">
      <c r="A337" s="216" t="str">
        <f>IFERROR(IF($A336+1&gt;'(backend scoring)'!$T$335,"",$A336+1),"")</f>
        <v/>
      </c>
      <c r="B337" s="216" t="e">
        <f ca="1">_xlfn.XLOOKUP($A337,'(backend scoring)'!$V$2:$V$333,'(backend scoring)'!$A$2:$A$333,"")</f>
        <v>#NAME?</v>
      </c>
      <c r="C337" s="216" t="str">
        <f ca="1">IFERROR(VLOOKUP($B337,'Institution Evaluation'!$A$55:$F$346,2,0),IFERROR(VLOOKUP($B337,'Privacy Analyst Evaluation'!$A$46:$F$120,2,0),""))&amp;""</f>
        <v/>
      </c>
      <c r="D337" s="216" t="str">
        <f ca="1">IFERROR(VLOOKUP($B337,'Institution Evaluation'!$A$55:$F$346,3,0),IFERROR(VLOOKUP($B337,'Privacy Analyst Evaluation'!$A$46:$F$120,3,0),""))&amp;""</f>
        <v/>
      </c>
      <c r="E337" s="216" t="str">
        <f ca="1">IFERROR(VLOOKUP($B337,'Institution Evaluation'!$A$55:$F$346,4,0),IFERROR(VLOOKUP($B337,'Privacy Analyst Evaluation'!$A$46:$F$120,4,0),""))&amp;""</f>
        <v/>
      </c>
      <c r="F337" s="216" t="str">
        <f ca="1">IFERROR(VLOOKUP($B337,'Institution Evaluation'!$A$55:$F$346,6,0),IFERROR(VLOOKUP($B337,'Privacy Analyst Evaluation'!$A$46:$F$120,6,0),""))&amp;""</f>
        <v/>
      </c>
      <c r="G337" s="217"/>
      <c r="H337" s="216" t="str">
        <f>IFERROR(IF($H336+1&gt;'(backend scoring)'!$Q$335,"",$H336+1),"")</f>
        <v/>
      </c>
      <c r="I337" s="216" t="e">
        <f ca="1">_xlfn.XLOOKUP($H337,'(backend scoring)'!$S$2:$S$333,'(backend scoring)'!$A$2:$A$333,"")</f>
        <v>#NAME?</v>
      </c>
      <c r="J337" s="216" t="str">
        <f ca="1">IFERROR(VLOOKUP($I337,'Institution Evaluation'!$A$55:$F$346,2,0),IFERROR(VLOOKUP($I337,'Privacy Analyst Evaluation'!$A$46:$F$120,2,0),""))</f>
        <v/>
      </c>
      <c r="K337" s="216" t="str">
        <f ca="1">IFERROR(VLOOKUP($I337,'Institution Evaluation'!$A$55:$F$346,3,0),IFERROR(VLOOKUP($I337,'Privacy Analyst Evaluation'!$A$46:$F$120,3,0),""))&amp;""</f>
        <v/>
      </c>
      <c r="L337" s="216" t="str">
        <f ca="1">IFERROR(VLOOKUP($I337,'Institution Evaluation'!$A$55:$F$346,4,0),IFERROR(VLOOKUP($I337,'Privacy Analyst Evaluation'!$A$46:$F$120,4,0),""))&amp;""</f>
        <v/>
      </c>
      <c r="M337" s="216" t="str">
        <f ca="1">IFERROR(VLOOKUP($I337,'Institution Evaluation'!$A$55:$F$346,6,0),IFERROR(VLOOKUP($I337,'Privacy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ht="17">
      <c r="A338" s="216" t="str">
        <f>IFERROR(IF($A337+1&gt;'(backend scoring)'!$T$335,"",$A337+1),"")</f>
        <v/>
      </c>
      <c r="B338" s="216" t="e">
        <f ca="1">_xlfn.XLOOKUP($A338,'(backend scoring)'!$V$2:$V$333,'(backend scoring)'!$A$2:$A$333,"")</f>
        <v>#NAME?</v>
      </c>
      <c r="C338" s="216" t="str">
        <f ca="1">IFERROR(VLOOKUP($B338,'Institution Evaluation'!$A$55:$F$346,2,0),IFERROR(VLOOKUP($B338,'Privacy Analyst Evaluation'!$A$46:$F$120,2,0),""))&amp;""</f>
        <v/>
      </c>
      <c r="D338" s="216" t="str">
        <f ca="1">IFERROR(VLOOKUP($B338,'Institution Evaluation'!$A$55:$F$346,3,0),IFERROR(VLOOKUP($B338,'Privacy Analyst Evaluation'!$A$46:$F$120,3,0),""))&amp;""</f>
        <v/>
      </c>
      <c r="E338" s="216" t="str">
        <f ca="1">IFERROR(VLOOKUP($B338,'Institution Evaluation'!$A$55:$F$346,4,0),IFERROR(VLOOKUP($B338,'Privacy Analyst Evaluation'!$A$46:$F$120,4,0),""))&amp;""</f>
        <v/>
      </c>
      <c r="F338" s="216" t="str">
        <f ca="1">IFERROR(VLOOKUP($B338,'Institution Evaluation'!$A$55:$F$346,6,0),IFERROR(VLOOKUP($B338,'Privacy Analyst Evaluation'!$A$46:$F$120,6,0),""))&amp;""</f>
        <v/>
      </c>
      <c r="G338" s="217"/>
      <c r="H338" s="216" t="str">
        <f>IFERROR(IF($H337+1&gt;'(backend scoring)'!$Q$335,"",$H337+1),"")</f>
        <v/>
      </c>
      <c r="I338" s="216" t="e">
        <f ca="1">_xlfn.XLOOKUP($H338,'(backend scoring)'!$S$2:$S$333,'(backend scoring)'!$A$2:$A$333,"")</f>
        <v>#NAME?</v>
      </c>
      <c r="J338" s="216" t="str">
        <f ca="1">IFERROR(VLOOKUP($I338,'Institution Evaluation'!$A$55:$F$346,2,0),IFERROR(VLOOKUP($I338,'Privacy Analyst Evaluation'!$A$46:$F$120,2,0),""))</f>
        <v/>
      </c>
      <c r="K338" s="216" t="str">
        <f ca="1">IFERROR(VLOOKUP($I338,'Institution Evaluation'!$A$55:$F$346,3,0),IFERROR(VLOOKUP($I338,'Privacy Analyst Evaluation'!$A$46:$F$120,3,0),""))&amp;""</f>
        <v/>
      </c>
      <c r="L338" s="216" t="str">
        <f ca="1">IFERROR(VLOOKUP($I338,'Institution Evaluation'!$A$55:$F$346,4,0),IFERROR(VLOOKUP($I338,'Privacy Analyst Evaluation'!$A$46:$F$120,4,0),""))&amp;""</f>
        <v/>
      </c>
      <c r="M338" s="216" t="str">
        <f ca="1">IFERROR(VLOOKUP($I338,'Institution Evaluation'!$A$55:$F$346,6,0),IFERROR(VLOOKUP($I338,'Privacy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ht="17">
      <c r="A339" s="216" t="str">
        <f>IFERROR(IF($A338+1&gt;'(backend scoring)'!$T$335,"",$A338+1),"")</f>
        <v/>
      </c>
      <c r="B339" s="216" t="e">
        <f ca="1">_xlfn.XLOOKUP($A339,'(backend scoring)'!$V$2:$V$333,'(backend scoring)'!$A$2:$A$333,"")</f>
        <v>#NAME?</v>
      </c>
      <c r="C339" s="216" t="str">
        <f ca="1">IFERROR(VLOOKUP($B339,'Institution Evaluation'!$A$55:$F$346,2,0),IFERROR(VLOOKUP($B339,'Privacy Analyst Evaluation'!$A$46:$F$120,2,0),""))&amp;""</f>
        <v/>
      </c>
      <c r="D339" s="216" t="str">
        <f ca="1">IFERROR(VLOOKUP($B339,'Institution Evaluation'!$A$55:$F$346,3,0),IFERROR(VLOOKUP($B339,'Privacy Analyst Evaluation'!$A$46:$F$120,3,0),""))&amp;""</f>
        <v/>
      </c>
      <c r="E339" s="216" t="str">
        <f ca="1">IFERROR(VLOOKUP($B339,'Institution Evaluation'!$A$55:$F$346,4,0),IFERROR(VLOOKUP($B339,'Privacy Analyst Evaluation'!$A$46:$F$120,4,0),""))&amp;""</f>
        <v/>
      </c>
      <c r="F339" s="216" t="str">
        <f ca="1">IFERROR(VLOOKUP($B339,'Institution Evaluation'!$A$55:$F$346,6,0),IFERROR(VLOOKUP($B339,'Privacy Analyst Evaluation'!$A$46:$F$120,6,0),""))&amp;""</f>
        <v/>
      </c>
      <c r="G339" s="217"/>
      <c r="H339" s="216" t="str">
        <f>IFERROR(IF($H338+1&gt;'(backend scoring)'!$Q$335,"",$H338+1),"")</f>
        <v/>
      </c>
      <c r="I339" s="216" t="e">
        <f ca="1">_xlfn.XLOOKUP($H339,'(backend scoring)'!$S$2:$S$333,'(backend scoring)'!$A$2:$A$333,"")</f>
        <v>#NAME?</v>
      </c>
      <c r="J339" s="216" t="str">
        <f ca="1">IFERROR(VLOOKUP($I339,'Institution Evaluation'!$A$55:$F$346,2,0),IFERROR(VLOOKUP($I339,'Privacy Analyst Evaluation'!$A$46:$F$120,2,0),""))</f>
        <v/>
      </c>
      <c r="K339" s="216" t="str">
        <f ca="1">IFERROR(VLOOKUP($I339,'Institution Evaluation'!$A$55:$F$346,3,0),IFERROR(VLOOKUP($I339,'Privacy Analyst Evaluation'!$A$46:$F$120,3,0),""))&amp;""</f>
        <v/>
      </c>
      <c r="L339" s="216" t="str">
        <f ca="1">IFERROR(VLOOKUP($I339,'Institution Evaluation'!$A$55:$F$346,4,0),IFERROR(VLOOKUP($I339,'Privacy Analyst Evaluation'!$A$46:$F$120,4,0),""))&amp;""</f>
        <v/>
      </c>
      <c r="M339" s="216" t="str">
        <f ca="1">IFERROR(VLOOKUP($I339,'Institution Evaluation'!$A$55:$F$346,6,0),IFERROR(VLOOKUP($I339,'Privacy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ht="17">
      <c r="A340" s="216" t="str">
        <f>IFERROR(IF($A339+1&gt;'(backend scoring)'!$T$335,"",$A339+1),"")</f>
        <v/>
      </c>
      <c r="B340" s="216" t="e">
        <f ca="1">_xlfn.XLOOKUP($A340,'(backend scoring)'!$V$2:$V$333,'(backend scoring)'!$A$2:$A$333,"")</f>
        <v>#NAME?</v>
      </c>
      <c r="C340" s="216" t="str">
        <f ca="1">IFERROR(VLOOKUP($B340,'Institution Evaluation'!$A$55:$F$346,2,0),IFERROR(VLOOKUP($B340,'Privacy Analyst Evaluation'!$A$46:$F$120,2,0),""))&amp;""</f>
        <v/>
      </c>
      <c r="D340" s="216" t="str">
        <f ca="1">IFERROR(VLOOKUP($B340,'Institution Evaluation'!$A$55:$F$346,3,0),IFERROR(VLOOKUP($B340,'Privacy Analyst Evaluation'!$A$46:$F$120,3,0),""))&amp;""</f>
        <v/>
      </c>
      <c r="E340" s="216" t="str">
        <f ca="1">IFERROR(VLOOKUP($B340,'Institution Evaluation'!$A$55:$F$346,4,0),IFERROR(VLOOKUP($B340,'Privacy Analyst Evaluation'!$A$46:$F$120,4,0),""))&amp;""</f>
        <v/>
      </c>
      <c r="F340" s="216" t="str">
        <f ca="1">IFERROR(VLOOKUP($B340,'Institution Evaluation'!$A$55:$F$346,6,0),IFERROR(VLOOKUP($B340,'Privacy Analyst Evaluation'!$A$46:$F$120,6,0),""))&amp;""</f>
        <v/>
      </c>
      <c r="G340" s="217"/>
      <c r="H340" s="216" t="str">
        <f>IFERROR(IF($H339+1&gt;'(backend scoring)'!$Q$335,"",$H339+1),"")</f>
        <v/>
      </c>
      <c r="I340" s="216" t="e">
        <f ca="1">_xlfn.XLOOKUP($H340,'(backend scoring)'!$S$2:$S$333,'(backend scoring)'!$A$2:$A$333,"")</f>
        <v>#NAME?</v>
      </c>
      <c r="J340" s="216" t="str">
        <f ca="1">IFERROR(VLOOKUP($I340,'Institution Evaluation'!$A$55:$F$346,2,0),IFERROR(VLOOKUP($I340,'Privacy Analyst Evaluation'!$A$46:$F$120,2,0),""))</f>
        <v/>
      </c>
      <c r="K340" s="216" t="str">
        <f ca="1">IFERROR(VLOOKUP($I340,'Institution Evaluation'!$A$55:$F$346,3,0),IFERROR(VLOOKUP($I340,'Privacy Analyst Evaluation'!$A$46:$F$120,3,0),""))&amp;""</f>
        <v/>
      </c>
      <c r="L340" s="216" t="str">
        <f ca="1">IFERROR(VLOOKUP($I340,'Institution Evaluation'!$A$55:$F$346,4,0),IFERROR(VLOOKUP($I340,'Privacy Analyst Evaluation'!$A$46:$F$120,4,0),""))&amp;""</f>
        <v/>
      </c>
      <c r="M340" s="216" t="str">
        <f ca="1">IFERROR(VLOOKUP($I340,'Institution Evaluation'!$A$55:$F$346,6,0),IFERROR(VLOOKUP($I340,'Privacy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ht="17">
      <c r="A341" s="216" t="str">
        <f>IFERROR(IF($A340+1&gt;'(backend scoring)'!$T$335,"",$A340+1),"")</f>
        <v/>
      </c>
      <c r="B341" s="216" t="e">
        <f ca="1">_xlfn.XLOOKUP($A341,'(backend scoring)'!$V$2:$V$333,'(backend scoring)'!$A$2:$A$333,"")</f>
        <v>#NAME?</v>
      </c>
      <c r="C341" s="216" t="str">
        <f ca="1">IFERROR(VLOOKUP($B341,'Institution Evaluation'!$A$55:$F$346,2,0),IFERROR(VLOOKUP($B341,'Privacy Analyst Evaluation'!$A$46:$F$120,2,0),""))&amp;""</f>
        <v/>
      </c>
      <c r="D341" s="216" t="str">
        <f ca="1">IFERROR(VLOOKUP($B341,'Institution Evaluation'!$A$55:$F$346,3,0),IFERROR(VLOOKUP($B341,'Privacy Analyst Evaluation'!$A$46:$F$120,3,0),""))&amp;""</f>
        <v/>
      </c>
      <c r="E341" s="216" t="str">
        <f ca="1">IFERROR(VLOOKUP($B341,'Institution Evaluation'!$A$55:$F$346,4,0),IFERROR(VLOOKUP($B341,'Privacy Analyst Evaluation'!$A$46:$F$120,4,0),""))&amp;""</f>
        <v/>
      </c>
      <c r="F341" s="216" t="str">
        <f ca="1">IFERROR(VLOOKUP($B341,'Institution Evaluation'!$A$55:$F$346,6,0),IFERROR(VLOOKUP($B341,'Privacy Analyst Evaluation'!$A$46:$F$120,6,0),""))&amp;""</f>
        <v/>
      </c>
      <c r="G341" s="217"/>
      <c r="H341" s="216" t="str">
        <f>IFERROR(IF($H340+1&gt;'(backend scoring)'!$Q$335,"",$H340+1),"")</f>
        <v/>
      </c>
      <c r="I341" s="216" t="e">
        <f ca="1">_xlfn.XLOOKUP($H341,'(backend scoring)'!$S$2:$S$333,'(backend scoring)'!$A$2:$A$333,"")</f>
        <v>#NAME?</v>
      </c>
      <c r="J341" s="216" t="str">
        <f ca="1">IFERROR(VLOOKUP($I341,'Institution Evaluation'!$A$55:$F$346,2,0),IFERROR(VLOOKUP($I341,'Privacy Analyst Evaluation'!$A$46:$F$120,2,0),""))</f>
        <v/>
      </c>
      <c r="K341" s="216" t="str">
        <f ca="1">IFERROR(VLOOKUP($I341,'Institution Evaluation'!$A$55:$F$346,3,0),IFERROR(VLOOKUP($I341,'Privacy Analyst Evaluation'!$A$46:$F$120,3,0),""))&amp;""</f>
        <v/>
      </c>
      <c r="L341" s="216" t="str">
        <f ca="1">IFERROR(VLOOKUP($I341,'Institution Evaluation'!$A$55:$F$346,4,0),IFERROR(VLOOKUP($I341,'Privacy Analyst Evaluation'!$A$46:$F$120,4,0),""))&amp;""</f>
        <v/>
      </c>
      <c r="M341" s="216" t="str">
        <f ca="1">IFERROR(VLOOKUP($I341,'Institution Evaluation'!$A$55:$F$346,6,0),IFERROR(VLOOKUP($I341,'Privacy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ht="17">
      <c r="A342" s="216" t="str">
        <f>IFERROR(IF($A341+1&gt;'(backend scoring)'!$T$335,"",$A341+1),"")</f>
        <v/>
      </c>
      <c r="B342" s="216" t="e">
        <f ca="1">_xlfn.XLOOKUP($A342,'(backend scoring)'!$V$2:$V$333,'(backend scoring)'!$A$2:$A$333,"")</f>
        <v>#NAME?</v>
      </c>
      <c r="C342" s="216" t="str">
        <f ca="1">IFERROR(VLOOKUP($B342,'Institution Evaluation'!$A$55:$F$346,2,0),IFERROR(VLOOKUP($B342,'Privacy Analyst Evaluation'!$A$46:$F$120,2,0),""))&amp;""</f>
        <v/>
      </c>
      <c r="D342" s="216" t="str">
        <f ca="1">IFERROR(VLOOKUP($B342,'Institution Evaluation'!$A$55:$F$346,3,0),IFERROR(VLOOKUP($B342,'Privacy Analyst Evaluation'!$A$46:$F$120,3,0),""))&amp;""</f>
        <v/>
      </c>
      <c r="E342" s="216" t="str">
        <f ca="1">IFERROR(VLOOKUP($B342,'Institution Evaluation'!$A$55:$F$346,4,0),IFERROR(VLOOKUP($B342,'Privacy Analyst Evaluation'!$A$46:$F$120,4,0),""))&amp;""</f>
        <v/>
      </c>
      <c r="F342" s="216" t="str">
        <f ca="1">IFERROR(VLOOKUP($B342,'Institution Evaluation'!$A$55:$F$346,6,0),IFERROR(VLOOKUP($B342,'Privacy Analyst Evaluation'!$A$46:$F$120,6,0),""))&amp;""</f>
        <v/>
      </c>
      <c r="G342" s="217"/>
      <c r="H342" s="216" t="str">
        <f>IFERROR(IF($H341+1&gt;'(backend scoring)'!$Q$335,"",$H341+1),"")</f>
        <v/>
      </c>
      <c r="I342" s="216" t="e">
        <f ca="1">_xlfn.XLOOKUP($H342,'(backend scoring)'!$S$2:$S$333,'(backend scoring)'!$A$2:$A$333,"")</f>
        <v>#NAME?</v>
      </c>
      <c r="J342" s="216" t="str">
        <f ca="1">IFERROR(VLOOKUP($I342,'Institution Evaluation'!$A$55:$F$346,2,0),IFERROR(VLOOKUP($I342,'Privacy Analyst Evaluation'!$A$46:$F$120,2,0),""))</f>
        <v/>
      </c>
      <c r="K342" s="216" t="str">
        <f ca="1">IFERROR(VLOOKUP($I342,'Institution Evaluation'!$A$55:$F$346,3,0),IFERROR(VLOOKUP($I342,'Privacy Analyst Evaluation'!$A$46:$F$120,3,0),""))&amp;""</f>
        <v/>
      </c>
      <c r="L342" s="216" t="str">
        <f ca="1">IFERROR(VLOOKUP($I342,'Institution Evaluation'!$A$55:$F$346,4,0),IFERROR(VLOOKUP($I342,'Privacy Analyst Evaluation'!$A$46:$F$120,4,0),""))&amp;""</f>
        <v/>
      </c>
      <c r="M342" s="216" t="str">
        <f ca="1">IFERROR(VLOOKUP($I342,'Institution Evaluation'!$A$55:$F$346,6,0),IFERROR(VLOOKUP($I342,'Privacy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ht="17">
      <c r="A343" s="216" t="str">
        <f>IFERROR(IF($A342+1&gt;'(backend scoring)'!$T$335,"",$A342+1),"")</f>
        <v/>
      </c>
      <c r="B343" s="216" t="e">
        <f ca="1">_xlfn.XLOOKUP($A343,'(backend scoring)'!$V$2:$V$333,'(backend scoring)'!$A$2:$A$333,"")</f>
        <v>#NAME?</v>
      </c>
      <c r="C343" s="216" t="str">
        <f ca="1">IFERROR(VLOOKUP($B343,'Institution Evaluation'!$A$55:$F$346,2,0),IFERROR(VLOOKUP($B343,'Privacy Analyst Evaluation'!$A$46:$F$120,2,0),""))&amp;""</f>
        <v/>
      </c>
      <c r="D343" s="216" t="str">
        <f ca="1">IFERROR(VLOOKUP($B343,'Institution Evaluation'!$A$55:$F$346,3,0),IFERROR(VLOOKUP($B343,'Privacy Analyst Evaluation'!$A$46:$F$120,3,0),""))&amp;""</f>
        <v/>
      </c>
      <c r="E343" s="216" t="str">
        <f ca="1">IFERROR(VLOOKUP($B343,'Institution Evaluation'!$A$55:$F$346,4,0),IFERROR(VLOOKUP($B343,'Privacy Analyst Evaluation'!$A$46:$F$120,4,0),""))&amp;""</f>
        <v/>
      </c>
      <c r="F343" s="216" t="str">
        <f ca="1">IFERROR(VLOOKUP($B343,'Institution Evaluation'!$A$55:$F$346,6,0),IFERROR(VLOOKUP($B343,'Privacy Analyst Evaluation'!$A$46:$F$120,6,0),""))&amp;""</f>
        <v/>
      </c>
      <c r="G343" s="217"/>
      <c r="H343" s="216" t="str">
        <f>IFERROR(IF($H342+1&gt;'(backend scoring)'!$Q$335,"",$H342+1),"")</f>
        <v/>
      </c>
      <c r="I343" s="216" t="e">
        <f ca="1">_xlfn.XLOOKUP($H343,'(backend scoring)'!$S$2:$S$333,'(backend scoring)'!$A$2:$A$333,"")</f>
        <v>#NAME?</v>
      </c>
      <c r="J343" s="216" t="str">
        <f ca="1">IFERROR(VLOOKUP($I343,'Institution Evaluation'!$A$55:$F$346,2,0),IFERROR(VLOOKUP($I343,'Privacy Analyst Evaluation'!$A$46:$F$120,2,0),""))</f>
        <v/>
      </c>
      <c r="K343" s="216" t="str">
        <f ca="1">IFERROR(VLOOKUP($I343,'Institution Evaluation'!$A$55:$F$346,3,0),IFERROR(VLOOKUP($I343,'Privacy Analyst Evaluation'!$A$46:$F$120,3,0),""))&amp;""</f>
        <v/>
      </c>
      <c r="L343" s="216" t="str">
        <f ca="1">IFERROR(VLOOKUP($I343,'Institution Evaluation'!$A$55:$F$346,4,0),IFERROR(VLOOKUP($I343,'Privacy Analyst Evaluation'!$A$46:$F$120,4,0),""))&amp;""</f>
        <v/>
      </c>
      <c r="M343" s="216" t="str">
        <f ca="1">IFERROR(VLOOKUP($I343,'Institution Evaluation'!$A$55:$F$346,6,0),IFERROR(VLOOKUP($I343,'Privacy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ht="17">
      <c r="A344" s="216" t="str">
        <f>IFERROR(IF($A343+1&gt;'(backend scoring)'!$T$335,"",$A343+1),"")</f>
        <v/>
      </c>
      <c r="B344" s="216" t="e">
        <f ca="1">_xlfn.XLOOKUP($A344,'(backend scoring)'!$V$2:$V$333,'(backend scoring)'!$A$2:$A$333,"")</f>
        <v>#NAME?</v>
      </c>
      <c r="C344" s="216" t="str">
        <f ca="1">IFERROR(VLOOKUP($B344,'Institution Evaluation'!$A$55:$F$346,2,0),IFERROR(VLOOKUP($B344,'Privacy Analyst Evaluation'!$A$46:$F$120,2,0),""))&amp;""</f>
        <v/>
      </c>
      <c r="D344" s="216" t="str">
        <f ca="1">IFERROR(VLOOKUP($B344,'Institution Evaluation'!$A$55:$F$346,3,0),IFERROR(VLOOKUP($B344,'Privacy Analyst Evaluation'!$A$46:$F$120,3,0),""))&amp;""</f>
        <v/>
      </c>
      <c r="E344" s="216" t="str">
        <f ca="1">IFERROR(VLOOKUP($B344,'Institution Evaluation'!$A$55:$F$346,4,0),IFERROR(VLOOKUP($B344,'Privacy Analyst Evaluation'!$A$46:$F$120,4,0),""))&amp;""</f>
        <v/>
      </c>
      <c r="F344" s="216" t="str">
        <f ca="1">IFERROR(VLOOKUP($B344,'Institution Evaluation'!$A$55:$F$346,6,0),IFERROR(VLOOKUP($B344,'Privacy Analyst Evaluation'!$A$46:$F$120,6,0),""))&amp;""</f>
        <v/>
      </c>
      <c r="G344" s="217"/>
      <c r="H344" s="216" t="str">
        <f>IFERROR(IF($H343+1&gt;'(backend scoring)'!$Q$335,"",$H343+1),"")</f>
        <v/>
      </c>
      <c r="I344" s="216" t="e">
        <f ca="1">_xlfn.XLOOKUP($H344,'(backend scoring)'!$S$2:$S$333,'(backend scoring)'!$A$2:$A$333,"")</f>
        <v>#NAME?</v>
      </c>
      <c r="J344" s="216" t="str">
        <f ca="1">IFERROR(VLOOKUP($I344,'Institution Evaluation'!$A$55:$F$346,2,0),IFERROR(VLOOKUP($I344,'Privacy Analyst Evaluation'!$A$46:$F$120,2,0),""))</f>
        <v/>
      </c>
      <c r="K344" s="216" t="str">
        <f ca="1">IFERROR(VLOOKUP($I344,'Institution Evaluation'!$A$55:$F$346,3,0),IFERROR(VLOOKUP($I344,'Privacy Analyst Evaluation'!$A$46:$F$120,3,0),""))&amp;""</f>
        <v/>
      </c>
      <c r="L344" s="216" t="str">
        <f ca="1">IFERROR(VLOOKUP($I344,'Institution Evaluation'!$A$55:$F$346,4,0),IFERROR(VLOOKUP($I344,'Privacy Analyst Evaluation'!$A$46:$F$120,4,0),""))&amp;""</f>
        <v/>
      </c>
      <c r="M344" s="216" t="str">
        <f ca="1">IFERROR(VLOOKUP($I344,'Institution Evaluation'!$A$55:$F$346,6,0),IFERROR(VLOOKUP($I344,'Privacy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ht="17">
      <c r="A345" s="216" t="str">
        <f>IFERROR(IF($A344+1&gt;'(backend scoring)'!$T$335,"",$A344+1),"")</f>
        <v/>
      </c>
      <c r="B345" s="216" t="e">
        <f ca="1">_xlfn.XLOOKUP($A345,'(backend scoring)'!$V$2:$V$333,'(backend scoring)'!$A$2:$A$333,"")</f>
        <v>#NAME?</v>
      </c>
      <c r="C345" s="216" t="str">
        <f ca="1">IFERROR(VLOOKUP($B345,'Institution Evaluation'!$A$55:$F$346,2,0),IFERROR(VLOOKUP($B345,'Privacy Analyst Evaluation'!$A$46:$F$120,2,0),""))&amp;""</f>
        <v/>
      </c>
      <c r="D345" s="216" t="str">
        <f ca="1">IFERROR(VLOOKUP($B345,'Institution Evaluation'!$A$55:$F$346,3,0),IFERROR(VLOOKUP($B345,'Privacy Analyst Evaluation'!$A$46:$F$120,3,0),""))&amp;""</f>
        <v/>
      </c>
      <c r="E345" s="216" t="str">
        <f ca="1">IFERROR(VLOOKUP($B345,'Institution Evaluation'!$A$55:$F$346,4,0),IFERROR(VLOOKUP($B345,'Privacy Analyst Evaluation'!$A$46:$F$120,4,0),""))&amp;""</f>
        <v/>
      </c>
      <c r="F345" s="216" t="str">
        <f ca="1">IFERROR(VLOOKUP($B345,'Institution Evaluation'!$A$55:$F$346,6,0),IFERROR(VLOOKUP($B345,'Privacy Analyst Evaluation'!$A$46:$F$120,6,0),""))&amp;""</f>
        <v/>
      </c>
      <c r="G345" s="217"/>
      <c r="H345" s="216" t="str">
        <f>IFERROR(IF($H344+1&gt;'(backend scoring)'!$Q$335,"",$H344+1),"")</f>
        <v/>
      </c>
      <c r="I345" s="216" t="e">
        <f ca="1">_xlfn.XLOOKUP($H345,'(backend scoring)'!$S$2:$S$333,'(backend scoring)'!$A$2:$A$333,"")</f>
        <v>#NAME?</v>
      </c>
      <c r="J345" s="216" t="str">
        <f ca="1">IFERROR(VLOOKUP($I345,'Institution Evaluation'!$A$55:$F$346,2,0),IFERROR(VLOOKUP($I345,'Privacy Analyst Evaluation'!$A$46:$F$120,2,0),""))</f>
        <v/>
      </c>
      <c r="K345" s="216" t="str">
        <f ca="1">IFERROR(VLOOKUP($I345,'Institution Evaluation'!$A$55:$F$346,3,0),IFERROR(VLOOKUP($I345,'Privacy Analyst Evaluation'!$A$46:$F$120,3,0),""))&amp;""</f>
        <v/>
      </c>
      <c r="L345" s="216" t="str">
        <f ca="1">IFERROR(VLOOKUP($I345,'Institution Evaluation'!$A$55:$F$346,4,0),IFERROR(VLOOKUP($I345,'Privacy Analyst Evaluation'!$A$46:$F$120,4,0),""))&amp;""</f>
        <v/>
      </c>
      <c r="M345" s="216" t="str">
        <f ca="1">IFERROR(VLOOKUP($I345,'Institution Evaluation'!$A$55:$F$346,6,0),IFERROR(VLOOKUP($I345,'Privacy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ht="17">
      <c r="A346" s="216" t="str">
        <f>IFERROR(IF($A345+1&gt;'(backend scoring)'!$T$335,"",$A345+1),"")</f>
        <v/>
      </c>
      <c r="B346" s="216" t="e">
        <f ca="1">_xlfn.XLOOKUP($A346,'(backend scoring)'!$V$2:$V$333,'(backend scoring)'!$A$2:$A$333,"")</f>
        <v>#NAME?</v>
      </c>
      <c r="C346" s="216" t="str">
        <f ca="1">IFERROR(VLOOKUP($B346,'Institution Evaluation'!$A$55:$F$346,2,0),IFERROR(VLOOKUP($B346,'Privacy Analyst Evaluation'!$A$46:$F$120,2,0),""))&amp;""</f>
        <v/>
      </c>
      <c r="D346" s="216" t="str">
        <f ca="1">IFERROR(VLOOKUP($B346,'Institution Evaluation'!$A$55:$F$346,3,0),IFERROR(VLOOKUP($B346,'Privacy Analyst Evaluation'!$A$46:$F$120,3,0),""))&amp;""</f>
        <v/>
      </c>
      <c r="E346" s="216" t="str">
        <f ca="1">IFERROR(VLOOKUP($B346,'Institution Evaluation'!$A$55:$F$346,4,0),IFERROR(VLOOKUP($B346,'Privacy Analyst Evaluation'!$A$46:$F$120,4,0),""))&amp;""</f>
        <v/>
      </c>
      <c r="F346" s="216" t="str">
        <f ca="1">IFERROR(VLOOKUP($B346,'Institution Evaluation'!$A$55:$F$346,6,0),IFERROR(VLOOKUP($B346,'Privacy Analyst Evaluation'!$A$46:$F$120,6,0),""))&amp;""</f>
        <v/>
      </c>
      <c r="G346" s="217"/>
      <c r="H346" s="216" t="str">
        <f>IFERROR(IF($H345+1&gt;'(backend scoring)'!$Q$335,"",$H345+1),"")</f>
        <v/>
      </c>
      <c r="I346" s="216" t="e">
        <f ca="1">_xlfn.XLOOKUP($H346,'(backend scoring)'!$S$2:$S$333,'(backend scoring)'!$A$2:$A$333,"")</f>
        <v>#NAME?</v>
      </c>
      <c r="J346" s="216" t="str">
        <f ca="1">IFERROR(VLOOKUP($I346,'Institution Evaluation'!$A$55:$F$346,2,0),IFERROR(VLOOKUP($I346,'Privacy Analyst Evaluation'!$A$46:$F$120,2,0),""))</f>
        <v/>
      </c>
      <c r="K346" s="216" t="str">
        <f ca="1">IFERROR(VLOOKUP($I346,'Institution Evaluation'!$A$55:$F$346,3,0),IFERROR(VLOOKUP($I346,'Privacy Analyst Evaluation'!$A$46:$F$120,3,0),""))&amp;""</f>
        <v/>
      </c>
      <c r="L346" s="216" t="str">
        <f ca="1">IFERROR(VLOOKUP($I346,'Institution Evaluation'!$A$55:$F$346,4,0),IFERROR(VLOOKUP($I346,'Privacy Analyst Evaluation'!$A$46:$F$120,4,0),""))&amp;""</f>
        <v/>
      </c>
      <c r="M346" s="216" t="str">
        <f ca="1">IFERROR(VLOOKUP($I346,'Institution Evaluation'!$A$55:$F$346,6,0),IFERROR(VLOOKUP($I346,'Privacy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ht="17">
      <c r="A347" s="216" t="str">
        <f>IFERROR(IF($A346+1&gt;'(backend scoring)'!$T$335,"",$A346+1),"")</f>
        <v/>
      </c>
      <c r="B347" s="216" t="e">
        <f ca="1">_xlfn.XLOOKUP($A347,'(backend scoring)'!$V$2:$V$333,'(backend scoring)'!$A$2:$A$333,"")</f>
        <v>#NAME?</v>
      </c>
      <c r="C347" s="216" t="str">
        <f ca="1">IFERROR(VLOOKUP($B347,'Institution Evaluation'!$A$55:$F$346,2,0),IFERROR(VLOOKUP($B347,'Privacy Analyst Evaluation'!$A$46:$F$120,2,0),""))&amp;""</f>
        <v/>
      </c>
      <c r="D347" s="216" t="str">
        <f ca="1">IFERROR(VLOOKUP($B347,'Institution Evaluation'!$A$55:$F$346,3,0),IFERROR(VLOOKUP($B347,'Privacy Analyst Evaluation'!$A$46:$F$120,3,0),""))&amp;""</f>
        <v/>
      </c>
      <c r="E347" s="216" t="str">
        <f ca="1">IFERROR(VLOOKUP($B347,'Institution Evaluation'!$A$55:$F$346,4,0),IFERROR(VLOOKUP($B347,'Privacy Analyst Evaluation'!$A$46:$F$120,4,0),""))&amp;""</f>
        <v/>
      </c>
      <c r="F347" s="216" t="str">
        <f ca="1">IFERROR(VLOOKUP($B347,'Institution Evaluation'!$A$55:$F$346,6,0),IFERROR(VLOOKUP($B347,'Privacy Analyst Evaluation'!$A$46:$F$120,6,0),""))&amp;""</f>
        <v/>
      </c>
      <c r="G347" s="217"/>
      <c r="H347" s="216" t="str">
        <f>IFERROR(IF($H346+1&gt;'(backend scoring)'!$Q$335,"",$H346+1),"")</f>
        <v/>
      </c>
      <c r="I347" s="216" t="e">
        <f ca="1">_xlfn.XLOOKUP($H347,'(backend scoring)'!$S$2:$S$333,'(backend scoring)'!$A$2:$A$333,"")</f>
        <v>#NAME?</v>
      </c>
      <c r="J347" s="216" t="str">
        <f ca="1">IFERROR(VLOOKUP($I347,'Institution Evaluation'!$A$55:$F$346,2,0),IFERROR(VLOOKUP($I347,'Privacy Analyst Evaluation'!$A$46:$F$120,2,0),""))</f>
        <v/>
      </c>
      <c r="K347" s="216" t="str">
        <f ca="1">IFERROR(VLOOKUP($I347,'Institution Evaluation'!$A$55:$F$346,3,0),IFERROR(VLOOKUP($I347,'Privacy Analyst Evaluation'!$A$46:$F$120,3,0),""))&amp;""</f>
        <v/>
      </c>
      <c r="L347" s="216" t="str">
        <f ca="1">IFERROR(VLOOKUP($I347,'Institution Evaluation'!$A$55:$F$346,4,0),IFERROR(VLOOKUP($I347,'Privacy Analyst Evaluation'!$A$46:$F$120,4,0),""))&amp;""</f>
        <v/>
      </c>
      <c r="M347" s="216" t="str">
        <f ca="1">IFERROR(VLOOKUP($I347,'Institution Evaluation'!$A$55:$F$346,6,0),IFERROR(VLOOKUP($I347,'Privacy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ht="17">
      <c r="A348" s="216" t="str">
        <f>IFERROR(IF($A347+1&gt;'(backend scoring)'!$T$335,"",$A347+1),"")</f>
        <v/>
      </c>
      <c r="B348" s="216" t="e">
        <f ca="1">_xlfn.XLOOKUP($A348,'(backend scoring)'!$V$2:$V$333,'(backend scoring)'!$A$2:$A$333,"")</f>
        <v>#NAME?</v>
      </c>
      <c r="C348" s="216" t="str">
        <f ca="1">IFERROR(VLOOKUP($B348,'Institution Evaluation'!$A$55:$F$346,2,0),IFERROR(VLOOKUP($B348,'Privacy Analyst Evaluation'!$A$46:$F$120,2,0),""))&amp;""</f>
        <v/>
      </c>
      <c r="D348" s="216" t="str">
        <f ca="1">IFERROR(VLOOKUP($B348,'Institution Evaluation'!$A$55:$F$346,3,0),IFERROR(VLOOKUP($B348,'Privacy Analyst Evaluation'!$A$46:$F$120,3,0),""))&amp;""</f>
        <v/>
      </c>
      <c r="E348" s="216" t="str">
        <f ca="1">IFERROR(VLOOKUP($B348,'Institution Evaluation'!$A$55:$F$346,4,0),IFERROR(VLOOKUP($B348,'Privacy Analyst Evaluation'!$A$46:$F$120,4,0),""))&amp;""</f>
        <v/>
      </c>
      <c r="F348" s="216" t="str">
        <f ca="1">IFERROR(VLOOKUP($B348,'Institution Evaluation'!$A$55:$F$346,6,0),IFERROR(VLOOKUP($B348,'Privacy Analyst Evaluation'!$A$46:$F$120,6,0),""))&amp;""</f>
        <v/>
      </c>
      <c r="G348" s="217"/>
      <c r="H348" s="216" t="str">
        <f>IFERROR(IF($H347+1&gt;'(backend scoring)'!$Q$335,"",$H347+1),"")</f>
        <v/>
      </c>
      <c r="I348" s="216" t="e">
        <f ca="1">_xlfn.XLOOKUP($H348,'(backend scoring)'!$S$2:$S$333,'(backend scoring)'!$A$2:$A$333,"")</f>
        <v>#NAME?</v>
      </c>
      <c r="J348" s="216" t="str">
        <f ca="1">IFERROR(VLOOKUP($I348,'Institution Evaluation'!$A$55:$F$346,2,0),IFERROR(VLOOKUP($I348,'Privacy Analyst Evaluation'!$A$46:$F$120,2,0),""))</f>
        <v/>
      </c>
      <c r="K348" s="216" t="str">
        <f ca="1">IFERROR(VLOOKUP($I348,'Institution Evaluation'!$A$55:$F$346,3,0),IFERROR(VLOOKUP($I348,'Privacy Analyst Evaluation'!$A$46:$F$120,3,0),""))&amp;""</f>
        <v/>
      </c>
      <c r="L348" s="216" t="str">
        <f ca="1">IFERROR(VLOOKUP($I348,'Institution Evaluation'!$A$55:$F$346,4,0),IFERROR(VLOOKUP($I348,'Privacy Analyst Evaluation'!$A$46:$F$120,4,0),""))&amp;""</f>
        <v/>
      </c>
      <c r="M348" s="216" t="str">
        <f ca="1">IFERROR(VLOOKUP($I348,'Institution Evaluation'!$A$55:$F$346,6,0),IFERROR(VLOOKUP($I348,'Privacy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ht="17">
      <c r="A349" s="216" t="str">
        <f>IFERROR(IF($A348+1&gt;'(backend scoring)'!$T$335,"",$A348+1),"")</f>
        <v/>
      </c>
      <c r="B349" s="216" t="e">
        <f ca="1">_xlfn.XLOOKUP($A349,'(backend scoring)'!$V$2:$V$333,'(backend scoring)'!$A$2:$A$333,"")</f>
        <v>#NAME?</v>
      </c>
      <c r="C349" s="216" t="str">
        <f ca="1">IFERROR(VLOOKUP($B349,'Institution Evaluation'!$A$55:$F$346,2,0),IFERROR(VLOOKUP($B349,'Privacy Analyst Evaluation'!$A$46:$F$120,2,0),""))&amp;""</f>
        <v/>
      </c>
      <c r="D349" s="216" t="str">
        <f ca="1">IFERROR(VLOOKUP($B349,'Institution Evaluation'!$A$55:$F$346,3,0),IFERROR(VLOOKUP($B349,'Privacy Analyst Evaluation'!$A$46:$F$120,3,0),""))&amp;""</f>
        <v/>
      </c>
      <c r="E349" s="216" t="str">
        <f ca="1">IFERROR(VLOOKUP($B349,'Institution Evaluation'!$A$55:$F$346,4,0),IFERROR(VLOOKUP($B349,'Privacy Analyst Evaluation'!$A$46:$F$120,4,0),""))&amp;""</f>
        <v/>
      </c>
      <c r="F349" s="216" t="str">
        <f ca="1">IFERROR(VLOOKUP($B349,'Institution Evaluation'!$A$55:$F$346,6,0),IFERROR(VLOOKUP($B349,'Privacy Analyst Evaluation'!$A$46:$F$120,6,0),""))&amp;""</f>
        <v/>
      </c>
      <c r="G349" s="217"/>
      <c r="H349" s="216" t="str">
        <f>IFERROR(IF($H348+1&gt;'(backend scoring)'!$Q$335,"",$H348+1),"")</f>
        <v/>
      </c>
      <c r="I349" s="216" t="e">
        <f ca="1">_xlfn.XLOOKUP($H349,'(backend scoring)'!$S$2:$S$333,'(backend scoring)'!$A$2:$A$333,"")</f>
        <v>#NAME?</v>
      </c>
      <c r="J349" s="216" t="str">
        <f ca="1">IFERROR(VLOOKUP($I349,'Institution Evaluation'!$A$55:$F$346,2,0),IFERROR(VLOOKUP($I349,'Privacy Analyst Evaluation'!$A$46:$F$120,2,0),""))</f>
        <v/>
      </c>
      <c r="K349" s="216" t="str">
        <f ca="1">IFERROR(VLOOKUP($I349,'Institution Evaluation'!$A$55:$F$346,3,0),IFERROR(VLOOKUP($I349,'Privacy Analyst Evaluation'!$A$46:$F$120,3,0),""))&amp;""</f>
        <v/>
      </c>
      <c r="L349" s="216" t="str">
        <f ca="1">IFERROR(VLOOKUP($I349,'Institution Evaluation'!$A$55:$F$346,4,0),IFERROR(VLOOKUP($I349,'Privacy Analyst Evaluation'!$A$46:$F$120,4,0),""))&amp;""</f>
        <v/>
      </c>
      <c r="M349" s="216" t="str">
        <f ca="1">IFERROR(VLOOKUP($I349,'Institution Evaluation'!$A$55:$F$346,6,0),IFERROR(VLOOKUP($I349,'Privacy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ht="17">
      <c r="A350" s="216" t="str">
        <f>IFERROR(IF($A349+1&gt;'(backend scoring)'!$T$335,"",$A349+1),"")</f>
        <v/>
      </c>
      <c r="B350" s="216" t="e">
        <f ca="1">_xlfn.XLOOKUP($A350,'(backend scoring)'!$V$2:$V$333,'(backend scoring)'!$A$2:$A$333,"")</f>
        <v>#NAME?</v>
      </c>
      <c r="C350" s="216" t="str">
        <f ca="1">IFERROR(VLOOKUP($B350,'Institution Evaluation'!$A$55:$F$346,2,0),IFERROR(VLOOKUP($B350,'Privacy Analyst Evaluation'!$A$46:$F$120,2,0),""))&amp;""</f>
        <v/>
      </c>
      <c r="D350" s="216" t="str">
        <f ca="1">IFERROR(VLOOKUP($B350,'Institution Evaluation'!$A$55:$F$346,3,0),IFERROR(VLOOKUP($B350,'Privacy Analyst Evaluation'!$A$46:$F$120,3,0),""))&amp;""</f>
        <v/>
      </c>
      <c r="E350" s="216" t="str">
        <f ca="1">IFERROR(VLOOKUP($B350,'Institution Evaluation'!$A$55:$F$346,4,0),IFERROR(VLOOKUP($B350,'Privacy Analyst Evaluation'!$A$46:$F$120,4,0),""))&amp;""</f>
        <v/>
      </c>
      <c r="F350" s="216" t="str">
        <f ca="1">IFERROR(VLOOKUP($B350,'Institution Evaluation'!$A$55:$F$346,6,0),IFERROR(VLOOKUP($B350,'Privacy Analyst Evaluation'!$A$46:$F$120,6,0),""))&amp;""</f>
        <v/>
      </c>
      <c r="G350" s="217"/>
      <c r="H350" s="216" t="str">
        <f>IFERROR(IF($H349+1&gt;'(backend scoring)'!$Q$335,"",$H349+1),"")</f>
        <v/>
      </c>
      <c r="I350" s="216" t="e">
        <f ca="1">_xlfn.XLOOKUP($H350,'(backend scoring)'!$S$2:$S$333,'(backend scoring)'!$A$2:$A$333,"")</f>
        <v>#NAME?</v>
      </c>
      <c r="J350" s="216" t="str">
        <f ca="1">IFERROR(VLOOKUP($I350,'Institution Evaluation'!$A$55:$F$346,2,0),IFERROR(VLOOKUP($I350,'Privacy Analyst Evaluation'!$A$46:$F$120,2,0),""))</f>
        <v/>
      </c>
      <c r="K350" s="216" t="str">
        <f ca="1">IFERROR(VLOOKUP($I350,'Institution Evaluation'!$A$55:$F$346,3,0),IFERROR(VLOOKUP($I350,'Privacy Analyst Evaluation'!$A$46:$F$120,3,0),""))&amp;""</f>
        <v/>
      </c>
      <c r="L350" s="216" t="str">
        <f ca="1">IFERROR(VLOOKUP($I350,'Institution Evaluation'!$A$55:$F$346,4,0),IFERROR(VLOOKUP($I350,'Privacy Analyst Evaluation'!$A$46:$F$120,4,0),""))&amp;""</f>
        <v/>
      </c>
      <c r="M350" s="216" t="str">
        <f ca="1">IFERROR(VLOOKUP($I350,'Institution Evaluation'!$A$55:$F$346,6,0),IFERROR(VLOOKUP($I350,'Privacy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ht="17">
      <c r="A351" s="216" t="str">
        <f>IFERROR(IF($A350+1&gt;'(backend scoring)'!$T$335,"",$A350+1),"")</f>
        <v/>
      </c>
      <c r="B351" s="216" t="e">
        <f ca="1">_xlfn.XLOOKUP($A351,'(backend scoring)'!$V$2:$V$333,'(backend scoring)'!$A$2:$A$333,"")</f>
        <v>#NAME?</v>
      </c>
      <c r="C351" s="216" t="str">
        <f ca="1">IFERROR(VLOOKUP($B351,'Institution Evaluation'!$A$55:$F$346,2,0),IFERROR(VLOOKUP($B351,'Privacy Analyst Evaluation'!$A$46:$F$120,2,0),""))&amp;""</f>
        <v/>
      </c>
      <c r="D351" s="216" t="str">
        <f ca="1">IFERROR(VLOOKUP($B351,'Institution Evaluation'!$A$55:$F$346,3,0),IFERROR(VLOOKUP($B351,'Privacy Analyst Evaluation'!$A$46:$F$120,3,0),""))&amp;""</f>
        <v/>
      </c>
      <c r="E351" s="216" t="str">
        <f ca="1">IFERROR(VLOOKUP($B351,'Institution Evaluation'!$A$55:$F$346,4,0),IFERROR(VLOOKUP($B351,'Privacy Analyst Evaluation'!$A$46:$F$120,4,0),""))&amp;""</f>
        <v/>
      </c>
      <c r="F351" s="216" t="str">
        <f ca="1">IFERROR(VLOOKUP($B351,'Institution Evaluation'!$A$55:$F$346,6,0),IFERROR(VLOOKUP($B351,'Privacy Analyst Evaluation'!$A$46:$F$120,6,0),""))&amp;""</f>
        <v/>
      </c>
      <c r="G351" s="217"/>
      <c r="H351" s="216" t="str">
        <f>IFERROR(IF($H350+1&gt;'(backend scoring)'!$Q$335,"",$H350+1),"")</f>
        <v/>
      </c>
      <c r="I351" s="216" t="e">
        <f ca="1">_xlfn.XLOOKUP($H351,'(backend scoring)'!$S$2:$S$333,'(backend scoring)'!$A$2:$A$333,"")</f>
        <v>#NAME?</v>
      </c>
      <c r="J351" s="216" t="str">
        <f ca="1">IFERROR(VLOOKUP($I351,'Institution Evaluation'!$A$55:$F$346,2,0),IFERROR(VLOOKUP($I351,'Privacy Analyst Evaluation'!$A$46:$F$120,2,0),""))</f>
        <v/>
      </c>
      <c r="K351" s="216" t="str">
        <f ca="1">IFERROR(VLOOKUP($I351,'Institution Evaluation'!$A$55:$F$346,3,0),IFERROR(VLOOKUP($I351,'Privacy Analyst Evaluation'!$A$46:$F$120,3,0),""))&amp;""</f>
        <v/>
      </c>
      <c r="L351" s="216" t="str">
        <f ca="1">IFERROR(VLOOKUP($I351,'Institution Evaluation'!$A$55:$F$346,4,0),IFERROR(VLOOKUP($I351,'Privacy Analyst Evaluation'!$A$46:$F$120,4,0),""))&amp;""</f>
        <v/>
      </c>
      <c r="M351" s="216" t="str">
        <f ca="1">IFERROR(VLOOKUP($I351,'Institution Evaluation'!$A$55:$F$346,6,0),IFERROR(VLOOKUP($I351,'Privacy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ht="17">
      <c r="A352" s="216" t="str">
        <f>IFERROR(IF($A351+1&gt;'(backend scoring)'!$T$335,"",$A351+1),"")</f>
        <v/>
      </c>
      <c r="B352" s="216" t="e">
        <f ca="1">_xlfn.XLOOKUP($A352,'(backend scoring)'!$V$2:$V$333,'(backend scoring)'!$A$2:$A$333,"")</f>
        <v>#NAME?</v>
      </c>
      <c r="C352" s="216" t="str">
        <f ca="1">IFERROR(VLOOKUP($B352,'Institution Evaluation'!$A$55:$F$346,2,0),IFERROR(VLOOKUP($B352,'Privacy Analyst Evaluation'!$A$46:$F$120,2,0),""))&amp;""</f>
        <v/>
      </c>
      <c r="D352" s="216" t="str">
        <f ca="1">IFERROR(VLOOKUP($B352,'Institution Evaluation'!$A$55:$F$346,3,0),IFERROR(VLOOKUP($B352,'Privacy Analyst Evaluation'!$A$46:$F$120,3,0),""))&amp;""</f>
        <v/>
      </c>
      <c r="E352" s="216" t="str">
        <f ca="1">IFERROR(VLOOKUP($B352,'Institution Evaluation'!$A$55:$F$346,4,0),IFERROR(VLOOKUP($B352,'Privacy Analyst Evaluation'!$A$46:$F$120,4,0),""))&amp;""</f>
        <v/>
      </c>
      <c r="F352" s="216" t="str">
        <f ca="1">IFERROR(VLOOKUP($B352,'Institution Evaluation'!$A$55:$F$346,6,0),IFERROR(VLOOKUP($B352,'Privacy Analyst Evaluation'!$A$46:$F$120,6,0),""))&amp;""</f>
        <v/>
      </c>
      <c r="G352" s="217"/>
      <c r="H352" s="216" t="str">
        <f>IFERROR(IF($H351+1&gt;'(backend scoring)'!$Q$335,"",$H351+1),"")</f>
        <v/>
      </c>
      <c r="I352" s="216" t="e">
        <f ca="1">_xlfn.XLOOKUP($H352,'(backend scoring)'!$S$2:$S$333,'(backend scoring)'!$A$2:$A$333,"")</f>
        <v>#NAME?</v>
      </c>
      <c r="J352" s="216" t="str">
        <f ca="1">IFERROR(VLOOKUP($I352,'Institution Evaluation'!$A$55:$F$346,2,0),IFERROR(VLOOKUP($I352,'Privacy Analyst Evaluation'!$A$46:$F$120,2,0),""))</f>
        <v/>
      </c>
      <c r="K352" s="216" t="str">
        <f ca="1">IFERROR(VLOOKUP($I352,'Institution Evaluation'!$A$55:$F$346,3,0),IFERROR(VLOOKUP($I352,'Privacy Analyst Evaluation'!$A$46:$F$120,3,0),""))&amp;""</f>
        <v/>
      </c>
      <c r="L352" s="216" t="str">
        <f ca="1">IFERROR(VLOOKUP($I352,'Institution Evaluation'!$A$55:$F$346,4,0),IFERROR(VLOOKUP($I352,'Privacy Analyst Evaluation'!$A$46:$F$120,4,0),""))&amp;""</f>
        <v/>
      </c>
      <c r="M352" s="216" t="str">
        <f ca="1">IFERROR(VLOOKUP($I352,'Institution Evaluation'!$A$55:$F$346,6,0),IFERROR(VLOOKUP($I352,'Privacy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ht="17">
      <c r="A353" s="216" t="str">
        <f>IFERROR(IF($A352+1&gt;'(backend scoring)'!$T$335,"",$A352+1),"")</f>
        <v/>
      </c>
      <c r="B353" s="216" t="e">
        <f ca="1">_xlfn.XLOOKUP($A353,'(backend scoring)'!$V$2:$V$333,'(backend scoring)'!$A$2:$A$333,"")</f>
        <v>#NAME?</v>
      </c>
      <c r="C353" s="216" t="str">
        <f ca="1">IFERROR(VLOOKUP($B353,'Institution Evaluation'!$A$55:$F$346,2,0),IFERROR(VLOOKUP($B353,'Privacy Analyst Evaluation'!$A$46:$F$120,2,0),""))&amp;""</f>
        <v/>
      </c>
      <c r="D353" s="216" t="str">
        <f ca="1">IFERROR(VLOOKUP($B353,'Institution Evaluation'!$A$55:$F$346,3,0),IFERROR(VLOOKUP($B353,'Privacy Analyst Evaluation'!$A$46:$F$120,3,0),""))&amp;""</f>
        <v/>
      </c>
      <c r="E353" s="216" t="str">
        <f ca="1">IFERROR(VLOOKUP($B353,'Institution Evaluation'!$A$55:$F$346,4,0),IFERROR(VLOOKUP($B353,'Privacy Analyst Evaluation'!$A$46:$F$120,4,0),""))&amp;""</f>
        <v/>
      </c>
      <c r="F353" s="216" t="str">
        <f ca="1">IFERROR(VLOOKUP($B353,'Institution Evaluation'!$A$55:$F$346,6,0),IFERROR(VLOOKUP($B353,'Privacy Analyst Evaluation'!$A$46:$F$120,6,0),""))&amp;""</f>
        <v/>
      </c>
      <c r="G353" s="217"/>
      <c r="H353" s="216" t="str">
        <f>IFERROR(IF($H352+1&gt;'(backend scoring)'!$Q$335,"",$H352+1),"")</f>
        <v/>
      </c>
      <c r="I353" s="216" t="e">
        <f ca="1">_xlfn.XLOOKUP($H353,'(backend scoring)'!$S$2:$S$333,'(backend scoring)'!$A$2:$A$333,"")</f>
        <v>#NAME?</v>
      </c>
      <c r="J353" s="216" t="str">
        <f ca="1">IFERROR(VLOOKUP($I353,'Institution Evaluation'!$A$55:$F$346,2,0),IFERROR(VLOOKUP($I353,'Privacy Analyst Evaluation'!$A$46:$F$120,2,0),""))</f>
        <v/>
      </c>
      <c r="K353" s="216" t="str">
        <f ca="1">IFERROR(VLOOKUP($I353,'Institution Evaluation'!$A$55:$F$346,3,0),IFERROR(VLOOKUP($I353,'Privacy Analyst Evaluation'!$A$46:$F$120,3,0),""))&amp;""</f>
        <v/>
      </c>
      <c r="L353" s="216" t="str">
        <f ca="1">IFERROR(VLOOKUP($I353,'Institution Evaluation'!$A$55:$F$346,4,0),IFERROR(VLOOKUP($I353,'Privacy Analyst Evaluation'!$A$46:$F$120,4,0),""))&amp;""</f>
        <v/>
      </c>
      <c r="M353" s="216" t="str">
        <f ca="1">IFERROR(VLOOKUP($I353,'Institution Evaluation'!$A$55:$F$346,6,0),IFERROR(VLOOKUP($I353,'Privacy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ht="17">
      <c r="A354" s="216" t="str">
        <f>IFERROR(IF($A353+1&gt;'(backend scoring)'!$T$335,"",$A353+1),"")</f>
        <v/>
      </c>
      <c r="B354" s="216" t="e">
        <f ca="1">_xlfn.XLOOKUP($A354,'(backend scoring)'!$V$2:$V$333,'(backend scoring)'!$A$2:$A$333,"")</f>
        <v>#NAME?</v>
      </c>
      <c r="C354" s="216" t="str">
        <f ca="1">IFERROR(VLOOKUP($B354,'Institution Evaluation'!$A$55:$F$346,2,0),IFERROR(VLOOKUP($B354,'Privacy Analyst Evaluation'!$A$46:$F$120,2,0),""))&amp;""</f>
        <v/>
      </c>
      <c r="D354" s="216" t="str">
        <f ca="1">IFERROR(VLOOKUP($B354,'Institution Evaluation'!$A$55:$F$346,3,0),IFERROR(VLOOKUP($B354,'Privacy Analyst Evaluation'!$A$46:$F$120,3,0),""))&amp;""</f>
        <v/>
      </c>
      <c r="E354" s="216" t="str">
        <f ca="1">IFERROR(VLOOKUP($B354,'Institution Evaluation'!$A$55:$F$346,4,0),IFERROR(VLOOKUP($B354,'Privacy Analyst Evaluation'!$A$46:$F$120,4,0),""))&amp;""</f>
        <v/>
      </c>
      <c r="F354" s="216" t="str">
        <f ca="1">IFERROR(VLOOKUP($B354,'Institution Evaluation'!$A$55:$F$346,6,0),IFERROR(VLOOKUP($B354,'Privacy Analyst Evaluation'!$A$46:$F$120,6,0),""))&amp;""</f>
        <v/>
      </c>
      <c r="G354" s="217"/>
      <c r="H354" s="216" t="str">
        <f>IFERROR(IF($H353+1&gt;'(backend scoring)'!$Q$335,"",$H353+1),"")</f>
        <v/>
      </c>
      <c r="I354" s="216" t="e">
        <f ca="1">_xlfn.XLOOKUP($H354,'(backend scoring)'!$S$2:$S$333,'(backend scoring)'!$A$2:$A$333,"")</f>
        <v>#NAME?</v>
      </c>
      <c r="J354" s="216" t="str">
        <f ca="1">IFERROR(VLOOKUP($I354,'Institution Evaluation'!$A$55:$F$346,2,0),IFERROR(VLOOKUP($I354,'Privacy Analyst Evaluation'!$A$46:$F$120,2,0),""))</f>
        <v/>
      </c>
      <c r="K354" s="216" t="str">
        <f ca="1">IFERROR(VLOOKUP($I354,'Institution Evaluation'!$A$55:$F$346,3,0),IFERROR(VLOOKUP($I354,'Privacy Analyst Evaluation'!$A$46:$F$120,3,0),""))&amp;""</f>
        <v/>
      </c>
      <c r="L354" s="216" t="str">
        <f ca="1">IFERROR(VLOOKUP($I354,'Institution Evaluation'!$A$55:$F$346,4,0),IFERROR(VLOOKUP($I354,'Privacy Analyst Evaluation'!$A$46:$F$120,4,0),""))&amp;""</f>
        <v/>
      </c>
      <c r="M354" s="216" t="str">
        <f ca="1">IFERROR(VLOOKUP($I354,'Institution Evaluation'!$A$55:$F$346,6,0),IFERROR(VLOOKUP($I354,'Privacy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ht="17">
      <c r="A355" s="216" t="str">
        <f>IFERROR(IF($A354+1&gt;'(backend scoring)'!$T$335,"",$A354+1),"")</f>
        <v/>
      </c>
      <c r="B355" s="216" t="e">
        <f ca="1">_xlfn.XLOOKUP($A355,'(backend scoring)'!$V$2:$V$333,'(backend scoring)'!$A$2:$A$333,"")</f>
        <v>#NAME?</v>
      </c>
      <c r="C355" s="216" t="str">
        <f ca="1">IFERROR(VLOOKUP($B355,'Institution Evaluation'!$A$55:$F$346,2,0),IFERROR(VLOOKUP($B355,'Privacy Analyst Evaluation'!$A$46:$F$120,2,0),""))&amp;""</f>
        <v/>
      </c>
      <c r="D355" s="216" t="str">
        <f ca="1">IFERROR(VLOOKUP($B355,'Institution Evaluation'!$A$55:$F$346,3,0),IFERROR(VLOOKUP($B355,'Privacy Analyst Evaluation'!$A$46:$F$120,3,0),""))&amp;""</f>
        <v/>
      </c>
      <c r="E355" s="216" t="str">
        <f ca="1">IFERROR(VLOOKUP($B355,'Institution Evaluation'!$A$55:$F$346,4,0),IFERROR(VLOOKUP($B355,'Privacy Analyst Evaluation'!$A$46:$F$120,4,0),""))&amp;""</f>
        <v/>
      </c>
      <c r="F355" s="216" t="str">
        <f ca="1">IFERROR(VLOOKUP($B355,'Institution Evaluation'!$A$55:$F$346,6,0),IFERROR(VLOOKUP($B355,'Privacy Analyst Evaluation'!$A$46:$F$120,6,0),""))&amp;""</f>
        <v/>
      </c>
      <c r="G355" s="217"/>
      <c r="H355" s="216" t="str">
        <f>IFERROR(IF($H354+1&gt;'(backend scoring)'!$Q$335,"",$H354+1),"")</f>
        <v/>
      </c>
      <c r="I355" s="216" t="e">
        <f ca="1">_xlfn.XLOOKUP($H355,'(backend scoring)'!$S$2:$S$333,'(backend scoring)'!$A$2:$A$333,"")</f>
        <v>#NAME?</v>
      </c>
      <c r="J355" s="216" t="str">
        <f ca="1">IFERROR(VLOOKUP($I355,'Institution Evaluation'!$A$55:$F$346,2,0),IFERROR(VLOOKUP($I355,'Privacy Analyst Evaluation'!$A$46:$F$120,2,0),""))</f>
        <v/>
      </c>
      <c r="K355" s="216" t="str">
        <f ca="1">IFERROR(VLOOKUP($I355,'Institution Evaluation'!$A$55:$F$346,3,0),IFERROR(VLOOKUP($I355,'Privacy Analyst Evaluation'!$A$46:$F$120,3,0),""))&amp;""</f>
        <v/>
      </c>
      <c r="L355" s="216" t="str">
        <f ca="1">IFERROR(VLOOKUP($I355,'Institution Evaluation'!$A$55:$F$346,4,0),IFERROR(VLOOKUP($I355,'Privacy Analyst Evaluation'!$A$46:$F$120,4,0),""))&amp;""</f>
        <v/>
      </c>
      <c r="M355" s="216" t="str">
        <f ca="1">IFERROR(VLOOKUP($I355,'Institution Evaluation'!$A$55:$F$346,6,0),IFERROR(VLOOKUP($I355,'Privacy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ht="17">
      <c r="A356" s="216" t="str">
        <f>IFERROR(IF($A355+1&gt;'(backend scoring)'!$T$335,"",$A355+1),"")</f>
        <v/>
      </c>
      <c r="B356" s="216" t="e">
        <f ca="1">_xlfn.XLOOKUP($A356,'(backend scoring)'!$V$2:$V$333,'(backend scoring)'!$A$2:$A$333,"")</f>
        <v>#NAME?</v>
      </c>
      <c r="C356" s="216" t="str">
        <f ca="1">IFERROR(VLOOKUP($B356,'Institution Evaluation'!$A$55:$F$346,2,0),IFERROR(VLOOKUP($B356,'Privacy Analyst Evaluation'!$A$46:$F$120,2,0),""))&amp;""</f>
        <v/>
      </c>
      <c r="D356" s="216" t="str">
        <f ca="1">IFERROR(VLOOKUP($B356,'Institution Evaluation'!$A$55:$F$346,3,0),IFERROR(VLOOKUP($B356,'Privacy Analyst Evaluation'!$A$46:$F$120,3,0),""))&amp;""</f>
        <v/>
      </c>
      <c r="E356" s="216" t="str">
        <f ca="1">IFERROR(VLOOKUP($B356,'Institution Evaluation'!$A$55:$F$346,4,0),IFERROR(VLOOKUP($B356,'Privacy Analyst Evaluation'!$A$46:$F$120,4,0),""))&amp;""</f>
        <v/>
      </c>
      <c r="F356" s="216" t="str">
        <f ca="1">IFERROR(VLOOKUP($B356,'Institution Evaluation'!$A$55:$F$346,6,0),IFERROR(VLOOKUP($B356,'Privacy Analyst Evaluation'!$A$46:$F$120,6,0),""))&amp;""</f>
        <v/>
      </c>
      <c r="G356" s="217"/>
      <c r="H356" s="216" t="str">
        <f>IFERROR(IF($H355+1&gt;'(backend scoring)'!$Q$335,"",$H355+1),"")</f>
        <v/>
      </c>
      <c r="I356" s="216" t="e">
        <f ca="1">_xlfn.XLOOKUP($H356,'(backend scoring)'!$S$2:$S$333,'(backend scoring)'!$A$2:$A$333,"")</f>
        <v>#NAME?</v>
      </c>
      <c r="J356" s="216" t="str">
        <f ca="1">IFERROR(VLOOKUP($I356,'Institution Evaluation'!$A$55:$F$346,2,0),IFERROR(VLOOKUP($I356,'Privacy Analyst Evaluation'!$A$46:$F$120,2,0),""))</f>
        <v/>
      </c>
      <c r="K356" s="216" t="str">
        <f ca="1">IFERROR(VLOOKUP($I356,'Institution Evaluation'!$A$55:$F$346,3,0),IFERROR(VLOOKUP($I356,'Privacy Analyst Evaluation'!$A$46:$F$120,3,0),""))&amp;""</f>
        <v/>
      </c>
      <c r="L356" s="216" t="str">
        <f ca="1">IFERROR(VLOOKUP($I356,'Institution Evaluation'!$A$55:$F$346,4,0),IFERROR(VLOOKUP($I356,'Privacy Analyst Evaluation'!$A$46:$F$120,4,0),""))&amp;""</f>
        <v/>
      </c>
      <c r="M356" s="216" t="str">
        <f ca="1">IFERROR(VLOOKUP($I356,'Institution Evaluation'!$A$55:$F$346,6,0),IFERROR(VLOOKUP($I356,'Privacy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ht="17">
      <c r="A357" s="216" t="str">
        <f>IFERROR(IF($A356+1&gt;'(backend scoring)'!$T$335,"",$A356+1),"")</f>
        <v/>
      </c>
      <c r="B357" s="216" t="e">
        <f ca="1">_xlfn.XLOOKUP($A357,'(backend scoring)'!$V$2:$V$333,'(backend scoring)'!$A$2:$A$333,"")</f>
        <v>#NAME?</v>
      </c>
      <c r="C357" s="216" t="str">
        <f ca="1">IFERROR(VLOOKUP($B357,'Institution Evaluation'!$A$55:$F$346,2,0),IFERROR(VLOOKUP($B357,'Privacy Analyst Evaluation'!$A$46:$F$120,2,0),""))&amp;""</f>
        <v/>
      </c>
      <c r="D357" s="216" t="str">
        <f ca="1">IFERROR(VLOOKUP($B357,'Institution Evaluation'!$A$55:$F$346,3,0),IFERROR(VLOOKUP($B357,'Privacy Analyst Evaluation'!$A$46:$F$120,3,0),""))&amp;""</f>
        <v/>
      </c>
      <c r="E357" s="216" t="str">
        <f ca="1">IFERROR(VLOOKUP($B357,'Institution Evaluation'!$A$55:$F$346,4,0),IFERROR(VLOOKUP($B357,'Privacy Analyst Evaluation'!$A$46:$F$120,4,0),""))&amp;""</f>
        <v/>
      </c>
      <c r="F357" s="216" t="str">
        <f ca="1">IFERROR(VLOOKUP($B357,'Institution Evaluation'!$A$55:$F$346,6,0),IFERROR(VLOOKUP($B357,'Privacy Analyst Evaluation'!$A$46:$F$120,6,0),""))&amp;""</f>
        <v/>
      </c>
      <c r="G357" s="217"/>
      <c r="H357" s="216" t="str">
        <f>IFERROR(IF($H356+1&gt;'(backend scoring)'!$Q$335,"",$H356+1),"")</f>
        <v/>
      </c>
      <c r="I357" s="216" t="e">
        <f ca="1">_xlfn.XLOOKUP($H357,'(backend scoring)'!$S$2:$S$333,'(backend scoring)'!$A$2:$A$333,"")</f>
        <v>#NAME?</v>
      </c>
      <c r="J357" s="216" t="str">
        <f ca="1">IFERROR(VLOOKUP($I357,'Institution Evaluation'!$A$55:$F$346,2,0),IFERROR(VLOOKUP($I357,'Privacy Analyst Evaluation'!$A$46:$F$120,2,0),""))</f>
        <v/>
      </c>
      <c r="K357" s="216" t="str">
        <f ca="1">IFERROR(VLOOKUP($I357,'Institution Evaluation'!$A$55:$F$346,3,0),IFERROR(VLOOKUP($I357,'Privacy Analyst Evaluation'!$A$46:$F$120,3,0),""))&amp;""</f>
        <v/>
      </c>
      <c r="L357" s="216" t="str">
        <f ca="1">IFERROR(VLOOKUP($I357,'Institution Evaluation'!$A$55:$F$346,4,0),IFERROR(VLOOKUP($I357,'Privacy Analyst Evaluation'!$A$46:$F$120,4,0),""))&amp;""</f>
        <v/>
      </c>
      <c r="M357" s="216" t="str">
        <f ca="1">IFERROR(VLOOKUP($I357,'Institution Evaluation'!$A$55:$F$346,6,0),IFERROR(VLOOKUP($I357,'Privacy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ht="17">
      <c r="A358" s="216" t="str">
        <f>IFERROR(IF($A357+1&gt;'(backend scoring)'!$T$335,"",$A357+1),"")</f>
        <v/>
      </c>
      <c r="B358" s="216" t="e">
        <f ca="1">_xlfn.XLOOKUP($A358,'(backend scoring)'!$V$2:$V$333,'(backend scoring)'!$A$2:$A$333,"")</f>
        <v>#NAME?</v>
      </c>
      <c r="C358" s="216" t="str">
        <f ca="1">IFERROR(VLOOKUP($B358,'Institution Evaluation'!$A$55:$F$346,2,0),IFERROR(VLOOKUP($B358,'Privacy Analyst Evaluation'!$A$46:$F$120,2,0),""))&amp;""</f>
        <v/>
      </c>
      <c r="D358" s="216" t="str">
        <f ca="1">IFERROR(VLOOKUP($B358,'Institution Evaluation'!$A$55:$F$346,3,0),IFERROR(VLOOKUP($B358,'Privacy Analyst Evaluation'!$A$46:$F$120,3,0),""))&amp;""</f>
        <v/>
      </c>
      <c r="E358" s="216" t="str">
        <f ca="1">IFERROR(VLOOKUP($B358,'Institution Evaluation'!$A$55:$F$346,4,0),IFERROR(VLOOKUP($B358,'Privacy Analyst Evaluation'!$A$46:$F$120,4,0),""))&amp;""</f>
        <v/>
      </c>
      <c r="F358" s="216" t="str">
        <f ca="1">IFERROR(VLOOKUP($B358,'Institution Evaluation'!$A$55:$F$346,6,0),IFERROR(VLOOKUP($B358,'Privacy Analyst Evaluation'!$A$46:$F$120,6,0),""))&amp;""</f>
        <v/>
      </c>
      <c r="G358" s="217"/>
      <c r="H358" s="216" t="str">
        <f>IFERROR(IF($H357+1&gt;'(backend scoring)'!$Q$335,"",$H357+1),"")</f>
        <v/>
      </c>
      <c r="I358" s="216" t="e">
        <f ca="1">_xlfn.XLOOKUP($H358,'(backend scoring)'!$S$2:$S$333,'(backend scoring)'!$A$2:$A$333,"")</f>
        <v>#NAME?</v>
      </c>
      <c r="J358" s="216" t="str">
        <f ca="1">IFERROR(VLOOKUP($I358,'Institution Evaluation'!$A$55:$F$346,2,0),IFERROR(VLOOKUP($I358,'Privacy Analyst Evaluation'!$A$46:$F$120,2,0),""))</f>
        <v/>
      </c>
      <c r="K358" s="216" t="str">
        <f ca="1">IFERROR(VLOOKUP($I358,'Institution Evaluation'!$A$55:$F$346,3,0),IFERROR(VLOOKUP($I358,'Privacy Analyst Evaluation'!$A$46:$F$120,3,0),""))&amp;""</f>
        <v/>
      </c>
      <c r="L358" s="216" t="str">
        <f ca="1">IFERROR(VLOOKUP($I358,'Institution Evaluation'!$A$55:$F$346,4,0),IFERROR(VLOOKUP($I358,'Privacy Analyst Evaluation'!$A$46:$F$120,4,0),""))&amp;""</f>
        <v/>
      </c>
      <c r="M358" s="216" t="str">
        <f ca="1">IFERROR(VLOOKUP($I358,'Institution Evaluation'!$A$55:$F$346,6,0),IFERROR(VLOOKUP($I358,'Privacy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ht="17">
      <c r="A359" s="216" t="str">
        <f>IFERROR(IF($A358+1&gt;'(backend scoring)'!$T$335,"",$A358+1),"")</f>
        <v/>
      </c>
      <c r="B359" s="216" t="e">
        <f ca="1">_xlfn.XLOOKUP($A359,'(backend scoring)'!$V$2:$V$333,'(backend scoring)'!$A$2:$A$333,"")</f>
        <v>#NAME?</v>
      </c>
      <c r="C359" s="216" t="str">
        <f ca="1">IFERROR(VLOOKUP($B359,'Institution Evaluation'!$A$55:$F$346,2,0),IFERROR(VLOOKUP($B359,'Privacy Analyst Evaluation'!$A$46:$F$120,2,0),""))&amp;""</f>
        <v/>
      </c>
      <c r="D359" s="216" t="str">
        <f ca="1">IFERROR(VLOOKUP($B359,'Institution Evaluation'!$A$55:$F$346,3,0),IFERROR(VLOOKUP($B359,'Privacy Analyst Evaluation'!$A$46:$F$120,3,0),""))&amp;""</f>
        <v/>
      </c>
      <c r="E359" s="216" t="str">
        <f ca="1">IFERROR(VLOOKUP($B359,'Institution Evaluation'!$A$55:$F$346,4,0),IFERROR(VLOOKUP($B359,'Privacy Analyst Evaluation'!$A$46:$F$120,4,0),""))&amp;""</f>
        <v/>
      </c>
      <c r="F359" s="216" t="str">
        <f ca="1">IFERROR(VLOOKUP($B359,'Institution Evaluation'!$A$55:$F$346,6,0),IFERROR(VLOOKUP($B359,'Privacy Analyst Evaluation'!$A$46:$F$120,6,0),""))&amp;""</f>
        <v/>
      </c>
      <c r="G359" s="217"/>
      <c r="H359" s="216" t="str">
        <f>IFERROR(IF($H358+1&gt;'(backend scoring)'!$Q$335,"",$H358+1),"")</f>
        <v/>
      </c>
      <c r="I359" s="216" t="e">
        <f ca="1">_xlfn.XLOOKUP($H359,'(backend scoring)'!$S$2:$S$333,'(backend scoring)'!$A$2:$A$333,"")</f>
        <v>#NAME?</v>
      </c>
      <c r="J359" s="216" t="str">
        <f ca="1">IFERROR(VLOOKUP($I359,'Institution Evaluation'!$A$55:$F$346,2,0),IFERROR(VLOOKUP($I359,'Privacy Analyst Evaluation'!$A$46:$F$120,2,0),""))</f>
        <v/>
      </c>
      <c r="K359" s="216" t="str">
        <f ca="1">IFERROR(VLOOKUP($I359,'Institution Evaluation'!$A$55:$F$346,3,0),IFERROR(VLOOKUP($I359,'Privacy Analyst Evaluation'!$A$46:$F$120,3,0),""))&amp;""</f>
        <v/>
      </c>
      <c r="L359" s="216" t="str">
        <f ca="1">IFERROR(VLOOKUP($I359,'Institution Evaluation'!$A$55:$F$346,4,0),IFERROR(VLOOKUP($I359,'Privacy Analyst Evaluation'!$A$46:$F$120,4,0),""))&amp;""</f>
        <v/>
      </c>
      <c r="M359" s="216" t="str">
        <f ca="1">IFERROR(VLOOKUP($I359,'Institution Evaluation'!$A$55:$F$346,6,0),IFERROR(VLOOKUP($I359,'Privacy Analyst Evaluation'!$A$46:$F$120,6,0),""))&amp;""</f>
        <v/>
      </c>
    </row>
    <row r="360" spans="1:338" ht="17">
      <c r="A360" s="216" t="str">
        <f>IFERROR(IF($A359+1&gt;'(backend scoring)'!$T$335,"",$A359+1),"")</f>
        <v/>
      </c>
      <c r="B360" s="216" t="e">
        <f ca="1">_xlfn.XLOOKUP($A360,'(backend scoring)'!$V$2:$V$333,'(backend scoring)'!$A$2:$A$333,"")</f>
        <v>#NAME?</v>
      </c>
      <c r="C360" s="216" t="str">
        <f ca="1">IFERROR(VLOOKUP($B360,'Institution Evaluation'!$A$55:$F$346,2,0),IFERROR(VLOOKUP($B360,'Privacy Analyst Evaluation'!$A$46:$F$120,2,0),""))&amp;""</f>
        <v/>
      </c>
      <c r="D360" s="216" t="str">
        <f ca="1">IFERROR(VLOOKUP($B360,'Institution Evaluation'!$A$55:$F$346,3,0),IFERROR(VLOOKUP($B360,'Privacy Analyst Evaluation'!$A$46:$F$120,3,0),""))&amp;""</f>
        <v/>
      </c>
      <c r="E360" s="216" t="str">
        <f ca="1">IFERROR(VLOOKUP($B360,'Institution Evaluation'!$A$55:$F$346,4,0),IFERROR(VLOOKUP($B360,'Privacy Analyst Evaluation'!$A$46:$F$120,4,0),""))&amp;""</f>
        <v/>
      </c>
      <c r="F360" s="216" t="str">
        <f ca="1">IFERROR(VLOOKUP($B360,'Institution Evaluation'!$A$55:$F$346,6,0),IFERROR(VLOOKUP($B360,'Privacy Analyst Evaluation'!$A$46:$F$120,6,0),""))&amp;""</f>
        <v/>
      </c>
      <c r="G360" s="217"/>
      <c r="H360" s="216" t="str">
        <f>IFERROR(IF($H359+1&gt;'(backend scoring)'!$Q$335,"",$H359+1),"")</f>
        <v/>
      </c>
      <c r="I360" s="216" t="e">
        <f ca="1">_xlfn.XLOOKUP($H360,'(backend scoring)'!$S$2:$S$333,'(backend scoring)'!$A$2:$A$333,"")</f>
        <v>#NAME?</v>
      </c>
      <c r="J360" s="216" t="str">
        <f ca="1">IFERROR(VLOOKUP($I360,'Institution Evaluation'!$A$55:$F$346,2,0),IFERROR(VLOOKUP($I360,'Privacy Analyst Evaluation'!$A$46:$F$120,2,0),""))</f>
        <v/>
      </c>
      <c r="K360" s="216" t="str">
        <f ca="1">IFERROR(VLOOKUP($I360,'Institution Evaluation'!$A$55:$F$346,3,0),IFERROR(VLOOKUP($I360,'Privacy Analyst Evaluation'!$A$46:$F$120,3,0),""))&amp;""</f>
        <v/>
      </c>
      <c r="L360" s="216" t="str">
        <f ca="1">IFERROR(VLOOKUP($I360,'Institution Evaluation'!$A$55:$F$346,4,0),IFERROR(VLOOKUP($I360,'Privacy Analyst Evaluation'!$A$46:$F$120,4,0),""))&amp;""</f>
        <v/>
      </c>
      <c r="M360" s="216" t="str">
        <f ca="1">IFERROR(VLOOKUP($I360,'Institution Evaluation'!$A$55:$F$346,6,0),IFERROR(VLOOKUP($I360,'Privacy Analyst Evaluation'!$A$46:$F$120,6,0),""))&amp;""</f>
        <v/>
      </c>
    </row>
    <row r="361" spans="1:338" ht="17">
      <c r="A361" s="216" t="str">
        <f>IFERROR(IF($A360+1&gt;'(backend scoring)'!$T$335,"",$A360+1),"")</f>
        <v/>
      </c>
      <c r="B361" s="216" t="e">
        <f ca="1">_xlfn.XLOOKUP($A361,'(backend scoring)'!$V$2:$V$333,'(backend scoring)'!$A$2:$A$333,"")</f>
        <v>#NAME?</v>
      </c>
      <c r="C361" s="216" t="str">
        <f ca="1">IFERROR(VLOOKUP($B361,'Institution Evaluation'!$A$55:$F$346,2,0),IFERROR(VLOOKUP($B361,'Privacy Analyst Evaluation'!$A$46:$F$120,2,0),""))&amp;""</f>
        <v/>
      </c>
      <c r="D361" s="216" t="str">
        <f ca="1">IFERROR(VLOOKUP($B361,'Institution Evaluation'!$A$55:$F$346,3,0),IFERROR(VLOOKUP($B361,'Privacy Analyst Evaluation'!$A$46:$F$120,3,0),""))&amp;""</f>
        <v/>
      </c>
      <c r="E361" s="216" t="str">
        <f ca="1">IFERROR(VLOOKUP($B361,'Institution Evaluation'!$A$55:$F$346,4,0),IFERROR(VLOOKUP($B361,'Privacy Analyst Evaluation'!$A$46:$F$120,4,0),""))&amp;""</f>
        <v/>
      </c>
      <c r="F361" s="216" t="str">
        <f ca="1">IFERROR(VLOOKUP($B361,'Institution Evaluation'!$A$55:$F$346,6,0),IFERROR(VLOOKUP($B361,'Privacy Analyst Evaluation'!$A$46:$F$120,6,0),""))&amp;""</f>
        <v/>
      </c>
      <c r="G361" s="217"/>
      <c r="H361" s="216" t="str">
        <f>IFERROR(IF($H360+1&gt;'(backend scoring)'!$Q$335,"",$H360+1),"")</f>
        <v/>
      </c>
      <c r="I361" s="216" t="e">
        <f ca="1">_xlfn.XLOOKUP($H361,'(backend scoring)'!$S$2:$S$333,'(backend scoring)'!$A$2:$A$333,"")</f>
        <v>#NAME?</v>
      </c>
      <c r="J361" s="216" t="str">
        <f ca="1">IFERROR(VLOOKUP($I361,'Institution Evaluation'!$A$55:$F$346,2,0),IFERROR(VLOOKUP($I361,'Privacy Analyst Evaluation'!$A$46:$F$120,2,0),""))</f>
        <v/>
      </c>
      <c r="K361" s="216" t="str">
        <f ca="1">IFERROR(VLOOKUP($I361,'Institution Evaluation'!$A$55:$F$346,3,0),IFERROR(VLOOKUP($I361,'Privacy Analyst Evaluation'!$A$46:$F$120,3,0),""))&amp;""</f>
        <v/>
      </c>
      <c r="L361" s="216" t="str">
        <f ca="1">IFERROR(VLOOKUP($I361,'Institution Evaluation'!$A$55:$F$346,4,0),IFERROR(VLOOKUP($I361,'Privacy Analyst Evaluation'!$A$46:$F$120,4,0),""))&amp;""</f>
        <v/>
      </c>
      <c r="M361" s="216" t="str">
        <f ca="1">IFERROR(VLOOKUP($I361,'Institution Evaluation'!$A$55:$F$346,6,0),IFERROR(VLOOKUP($I361,'Privacy Analyst Evaluation'!$A$46:$F$120,6,0),""))&amp;""</f>
        <v/>
      </c>
    </row>
    <row r="362" spans="1:338" ht="17">
      <c r="A362" s="216" t="str">
        <f>IFERROR(IF($A361+1&gt;'(backend scoring)'!$T$335,"",$A361+1),"")</f>
        <v/>
      </c>
      <c r="B362" s="216" t="e">
        <f ca="1">_xlfn.XLOOKUP($A362,'(backend scoring)'!$V$2:$V$333,'(backend scoring)'!$A$2:$A$333,"")</f>
        <v>#NAME?</v>
      </c>
      <c r="C362" s="216" t="str">
        <f ca="1">IFERROR(VLOOKUP($B362,'Institution Evaluation'!$A$55:$F$346,2,0),IFERROR(VLOOKUP($B362,'Privacy Analyst Evaluation'!$A$46:$F$120,2,0),""))&amp;""</f>
        <v/>
      </c>
      <c r="D362" s="216" t="str">
        <f ca="1">IFERROR(VLOOKUP($B362,'Institution Evaluation'!$A$55:$F$346,3,0),IFERROR(VLOOKUP($B362,'Privacy Analyst Evaluation'!$A$46:$F$120,3,0),""))&amp;""</f>
        <v/>
      </c>
      <c r="E362" s="216" t="str">
        <f ca="1">IFERROR(VLOOKUP($B362,'Institution Evaluation'!$A$55:$F$346,4,0),IFERROR(VLOOKUP($B362,'Privacy Analyst Evaluation'!$A$46:$F$120,4,0),""))&amp;""</f>
        <v/>
      </c>
      <c r="F362" s="216" t="str">
        <f ca="1">IFERROR(VLOOKUP($B362,'Institution Evaluation'!$A$55:$F$346,6,0),IFERROR(VLOOKUP($B362,'Privacy Analyst Evaluation'!$A$46:$F$120,6,0),""))&amp;""</f>
        <v/>
      </c>
      <c r="G362" s="217"/>
      <c r="H362" s="216" t="str">
        <f>IFERROR(IF($H361+1&gt;'(backend scoring)'!$Q$335,"",$H361+1),"")</f>
        <v/>
      </c>
      <c r="I362" s="216" t="e">
        <f ca="1">_xlfn.XLOOKUP($H362,'(backend scoring)'!$S$2:$S$333,'(backend scoring)'!$A$2:$A$333,"")</f>
        <v>#NAME?</v>
      </c>
      <c r="J362" s="216" t="str">
        <f ca="1">IFERROR(VLOOKUP($I362,'Institution Evaluation'!$A$55:$F$346,2,0),IFERROR(VLOOKUP($I362,'Privacy Analyst Evaluation'!$A$46:$F$120,2,0),""))</f>
        <v/>
      </c>
      <c r="K362" s="216" t="str">
        <f ca="1">IFERROR(VLOOKUP($I362,'Institution Evaluation'!$A$55:$F$346,3,0),IFERROR(VLOOKUP($I362,'Privacy Analyst Evaluation'!$A$46:$F$120,3,0),""))&amp;""</f>
        <v/>
      </c>
      <c r="L362" s="216" t="str">
        <f ca="1">IFERROR(VLOOKUP($I362,'Institution Evaluation'!$A$55:$F$346,4,0),IFERROR(VLOOKUP($I362,'Privacy Analyst Evaluation'!$A$46:$F$120,4,0),""))&amp;""</f>
        <v/>
      </c>
      <c r="M362" s="216" t="str">
        <f ca="1">IFERROR(VLOOKUP($I362,'Institution Evaluation'!$A$55:$F$346,6,0),IFERROR(VLOOKUP($I362,'Privacy Analyst Evaluation'!$A$46:$F$120,6,0),""))&amp;""</f>
        <v/>
      </c>
    </row>
    <row r="363" spans="1:338" ht="17">
      <c r="A363" s="216" t="str">
        <f>IFERROR(IF($A362+1&gt;'(backend scoring)'!$T$335,"",$A362+1),"")</f>
        <v/>
      </c>
      <c r="B363" s="216" t="e">
        <f ca="1">_xlfn.XLOOKUP($A363,'(backend scoring)'!$V$2:$V$333,'(backend scoring)'!$A$2:$A$333,"")</f>
        <v>#NAME?</v>
      </c>
      <c r="C363" s="216" t="str">
        <f ca="1">IFERROR(VLOOKUP($B363,'Institution Evaluation'!$A$55:$F$346,2,0),IFERROR(VLOOKUP($B363,'Privacy Analyst Evaluation'!$A$46:$F$120,2,0),""))&amp;""</f>
        <v/>
      </c>
      <c r="D363" s="216" t="str">
        <f ca="1">IFERROR(VLOOKUP($B363,'Institution Evaluation'!$A$55:$F$346,3,0),IFERROR(VLOOKUP($B363,'Privacy Analyst Evaluation'!$A$46:$F$120,3,0),""))&amp;""</f>
        <v/>
      </c>
      <c r="E363" s="216" t="str">
        <f ca="1">IFERROR(VLOOKUP($B363,'Institution Evaluation'!$A$55:$F$346,4,0),IFERROR(VLOOKUP($B363,'Privacy Analyst Evaluation'!$A$46:$F$120,4,0),""))&amp;""</f>
        <v/>
      </c>
      <c r="F363" s="216" t="str">
        <f ca="1">IFERROR(VLOOKUP($B363,'Institution Evaluation'!$A$55:$F$346,6,0),IFERROR(VLOOKUP($B363,'Privacy Analyst Evaluation'!$A$46:$F$120,6,0),""))&amp;""</f>
        <v/>
      </c>
      <c r="G363" s="217"/>
      <c r="H363" s="216" t="str">
        <f>IFERROR(IF($H362+1&gt;'(backend scoring)'!$Q$335,"",$H362+1),"")</f>
        <v/>
      </c>
      <c r="I363" s="216" t="e">
        <f ca="1">_xlfn.XLOOKUP($H363,'(backend scoring)'!$S$2:$S$333,'(backend scoring)'!$A$2:$A$333,"")</f>
        <v>#NAME?</v>
      </c>
      <c r="J363" s="216" t="str">
        <f ca="1">IFERROR(VLOOKUP($I363,'Institution Evaluation'!$A$55:$F$346,2,0),IFERROR(VLOOKUP($I363,'Privacy Analyst Evaluation'!$A$46:$F$120,2,0),""))</f>
        <v/>
      </c>
      <c r="K363" s="216" t="str">
        <f ca="1">IFERROR(VLOOKUP($I363,'Institution Evaluation'!$A$55:$F$346,3,0),IFERROR(VLOOKUP($I363,'Privacy Analyst Evaluation'!$A$46:$F$120,3,0),""))&amp;""</f>
        <v/>
      </c>
      <c r="L363" s="216" t="str">
        <f ca="1">IFERROR(VLOOKUP($I363,'Institution Evaluation'!$A$55:$F$346,4,0),IFERROR(VLOOKUP($I363,'Privacy Analyst Evaluation'!$A$46:$F$120,4,0),""))&amp;""</f>
        <v/>
      </c>
      <c r="M363" s="216" t="str">
        <f ca="1">IFERROR(VLOOKUP($I363,'Institution Evaluation'!$A$55:$F$346,6,0),IFERROR(VLOOKUP($I363,'Privacy Analyst Evaluation'!$A$46:$F$120,6,0),""))&amp;""</f>
        <v/>
      </c>
    </row>
    <row r="364" spans="1:338" ht="17">
      <c r="A364" s="216" t="str">
        <f>IFERROR(IF($A363+1&gt;'(backend scoring)'!$T$335,"",$A363+1),"")</f>
        <v/>
      </c>
      <c r="B364" s="216" t="e">
        <f ca="1">_xlfn.XLOOKUP($A364,'(backend scoring)'!$V$2:$V$333,'(backend scoring)'!$A$2:$A$333,"")</f>
        <v>#NAME?</v>
      </c>
      <c r="C364" s="216" t="str">
        <f ca="1">IFERROR(VLOOKUP($B364,'Institution Evaluation'!$A$55:$F$346,2,0),IFERROR(VLOOKUP($B364,'Privacy Analyst Evaluation'!$A$46:$F$120,2,0),""))&amp;""</f>
        <v/>
      </c>
      <c r="D364" s="216" t="str">
        <f ca="1">IFERROR(VLOOKUP($B364,'Institution Evaluation'!$A$55:$F$346,3,0),IFERROR(VLOOKUP($B364,'Privacy Analyst Evaluation'!$A$46:$F$120,3,0),""))&amp;""</f>
        <v/>
      </c>
      <c r="E364" s="216" t="str">
        <f ca="1">IFERROR(VLOOKUP($B364,'Institution Evaluation'!$A$55:$F$346,4,0),IFERROR(VLOOKUP($B364,'Privacy Analyst Evaluation'!$A$46:$F$120,4,0),""))&amp;""</f>
        <v/>
      </c>
      <c r="F364" s="216" t="str">
        <f ca="1">IFERROR(VLOOKUP($B364,'Institution Evaluation'!$A$55:$F$346,6,0),IFERROR(VLOOKUP($B364,'Privacy Analyst Evaluation'!$A$46:$F$120,6,0),""))&amp;""</f>
        <v/>
      </c>
      <c r="G364" s="217"/>
      <c r="H364" s="216" t="str">
        <f>IFERROR(IF($H363+1&gt;'(backend scoring)'!$Q$335,"",$H363+1),"")</f>
        <v/>
      </c>
      <c r="I364" s="216" t="e">
        <f ca="1">_xlfn.XLOOKUP($H364,'(backend scoring)'!$S$2:$S$333,'(backend scoring)'!$A$2:$A$333,"")</f>
        <v>#NAME?</v>
      </c>
      <c r="J364" s="216" t="str">
        <f ca="1">IFERROR(VLOOKUP($I364,'Institution Evaluation'!$A$55:$F$346,2,0),IFERROR(VLOOKUP($I364,'Privacy Analyst Evaluation'!$A$46:$F$120,2,0),""))</f>
        <v/>
      </c>
      <c r="K364" s="216" t="str">
        <f ca="1">IFERROR(VLOOKUP($I364,'Institution Evaluation'!$A$55:$F$346,3,0),IFERROR(VLOOKUP($I364,'Privacy Analyst Evaluation'!$A$46:$F$120,3,0),""))&amp;""</f>
        <v/>
      </c>
      <c r="L364" s="216" t="str">
        <f ca="1">IFERROR(VLOOKUP($I364,'Institution Evaluation'!$A$55:$F$346,4,0),IFERROR(VLOOKUP($I364,'Privacy Analyst Evaluation'!$A$46:$F$120,4,0),""))&amp;""</f>
        <v/>
      </c>
      <c r="M364" s="216" t="str">
        <f ca="1">IFERROR(VLOOKUP($I364,'Institution Evaluation'!$A$55:$F$346,6,0),IFERROR(VLOOKUP($I364,'Privacy Analyst Evaluation'!$A$46:$F$120,6,0),""))&amp;""</f>
        <v/>
      </c>
    </row>
    <row r="365" spans="1:338" ht="17">
      <c r="A365" s="216" t="str">
        <f>IFERROR(IF($A364+1&gt;'(backend scoring)'!$T$335,"",$A364+1),"")</f>
        <v/>
      </c>
      <c r="B365" s="216" t="e">
        <f ca="1">_xlfn.XLOOKUP($A365,'(backend scoring)'!$V$2:$V$333,'(backend scoring)'!$A$2:$A$333,"")</f>
        <v>#NAME?</v>
      </c>
      <c r="C365" s="216" t="str">
        <f ca="1">IFERROR(VLOOKUP($B365,'Institution Evaluation'!$A$55:$F$346,2,0),IFERROR(VLOOKUP($B365,'Privacy Analyst Evaluation'!$A$46:$F$120,2,0),""))&amp;""</f>
        <v/>
      </c>
      <c r="D365" s="216" t="str">
        <f ca="1">IFERROR(VLOOKUP($B365,'Institution Evaluation'!$A$55:$F$346,3,0),IFERROR(VLOOKUP($B365,'Privacy Analyst Evaluation'!$A$46:$F$120,3,0),""))&amp;""</f>
        <v/>
      </c>
      <c r="E365" s="216" t="str">
        <f ca="1">IFERROR(VLOOKUP($B365,'Institution Evaluation'!$A$55:$F$346,4,0),IFERROR(VLOOKUP($B365,'Privacy Analyst Evaluation'!$A$46:$F$120,4,0),""))&amp;""</f>
        <v/>
      </c>
      <c r="F365" s="216" t="str">
        <f ca="1">IFERROR(VLOOKUP($B365,'Institution Evaluation'!$A$55:$F$346,6,0),IFERROR(VLOOKUP($B365,'Privacy Analyst Evaluation'!$A$46:$F$120,6,0),""))&amp;""</f>
        <v/>
      </c>
      <c r="G365" s="217"/>
      <c r="H365" s="216" t="str">
        <f>IFERROR(IF($H364+1&gt;'(backend scoring)'!$Q$335,"",$H364+1),"")</f>
        <v/>
      </c>
      <c r="I365" s="216" t="e">
        <f ca="1">_xlfn.XLOOKUP($H365,'(backend scoring)'!$S$2:$S$333,'(backend scoring)'!$A$2:$A$333,"")</f>
        <v>#NAME?</v>
      </c>
      <c r="J365" s="216" t="str">
        <f ca="1">IFERROR(VLOOKUP($I365,'Institution Evaluation'!$A$55:$F$346,2,0),IFERROR(VLOOKUP($I365,'Privacy Analyst Evaluation'!$A$46:$F$120,2,0),""))</f>
        <v/>
      </c>
      <c r="K365" s="216" t="str">
        <f ca="1">IFERROR(VLOOKUP($I365,'Institution Evaluation'!$A$55:$F$346,3,0),IFERROR(VLOOKUP($I365,'Privacy Analyst Evaluation'!$A$46:$F$120,3,0),""))&amp;""</f>
        <v/>
      </c>
      <c r="L365" s="216" t="str">
        <f ca="1">IFERROR(VLOOKUP($I365,'Institution Evaluation'!$A$55:$F$346,4,0),IFERROR(VLOOKUP($I365,'Privacy Analyst Evaluation'!$A$46:$F$120,4,0),""))&amp;""</f>
        <v/>
      </c>
      <c r="M365" s="216" t="str">
        <f ca="1">IFERROR(VLOOKUP($I365,'Institution Evaluation'!$A$55:$F$346,6,0),IFERROR(VLOOKUP($I365,'Privacy Analyst Evaluation'!$A$46:$F$120,6,0),""))&amp;""</f>
        <v/>
      </c>
    </row>
    <row r="366" spans="1:338" ht="17">
      <c r="A366" s="216" t="str">
        <f>IFERROR(IF($A365+1&gt;'(backend scoring)'!$T$335,"",$A365+1),"")</f>
        <v/>
      </c>
      <c r="B366" s="216" t="e">
        <f ca="1">_xlfn.XLOOKUP($A366,'(backend scoring)'!$V$2:$V$333,'(backend scoring)'!$A$2:$A$333,"")</f>
        <v>#NAME?</v>
      </c>
      <c r="C366" s="216" t="str">
        <f ca="1">IFERROR(VLOOKUP($B366,'Institution Evaluation'!$A$55:$F$346,2,0),IFERROR(VLOOKUP($B366,'Privacy Analyst Evaluation'!$A$46:$F$120,2,0),""))&amp;""</f>
        <v/>
      </c>
      <c r="D366" s="216" t="str">
        <f ca="1">IFERROR(VLOOKUP($B366,'Institution Evaluation'!$A$55:$F$346,3,0),IFERROR(VLOOKUP($B366,'Privacy Analyst Evaluation'!$A$46:$F$120,3,0),""))&amp;""</f>
        <v/>
      </c>
      <c r="E366" s="216" t="str">
        <f ca="1">IFERROR(VLOOKUP($B366,'Institution Evaluation'!$A$55:$F$346,4,0),IFERROR(VLOOKUP($B366,'Privacy Analyst Evaluation'!$A$46:$F$120,4,0),""))&amp;""</f>
        <v/>
      </c>
      <c r="F366" s="216" t="str">
        <f ca="1">IFERROR(VLOOKUP($B366,'Institution Evaluation'!$A$55:$F$346,6,0),IFERROR(VLOOKUP($B366,'Privacy Analyst Evaluation'!$A$46:$F$120,6,0),""))&amp;""</f>
        <v/>
      </c>
      <c r="G366" s="217"/>
      <c r="H366" s="216" t="str">
        <f>IFERROR(IF($H365+1&gt;'(backend scoring)'!$Q$335,"",$H365+1),"")</f>
        <v/>
      </c>
      <c r="I366" s="216" t="e">
        <f ca="1">_xlfn.XLOOKUP($H366,'(backend scoring)'!$S$2:$S$333,'(backend scoring)'!$A$2:$A$333,"")</f>
        <v>#NAME?</v>
      </c>
      <c r="J366" s="216" t="str">
        <f ca="1">IFERROR(VLOOKUP($I366,'Institution Evaluation'!$A$55:$F$346,2,0),IFERROR(VLOOKUP($I366,'Privacy Analyst Evaluation'!$A$46:$F$120,2,0),""))</f>
        <v/>
      </c>
      <c r="K366" s="216" t="str">
        <f ca="1">IFERROR(VLOOKUP($I366,'Institution Evaluation'!$A$55:$F$346,3,0),IFERROR(VLOOKUP($I366,'Privacy Analyst Evaluation'!$A$46:$F$120,3,0),""))&amp;""</f>
        <v/>
      </c>
      <c r="L366" s="216" t="str">
        <f ca="1">IFERROR(VLOOKUP($I366,'Institution Evaluation'!$A$55:$F$346,4,0),IFERROR(VLOOKUP($I366,'Privacy Analyst Evaluation'!$A$46:$F$120,4,0),""))&amp;""</f>
        <v/>
      </c>
      <c r="M366" s="216" t="str">
        <f ca="1">IFERROR(VLOOKUP($I366,'Institution Evaluation'!$A$55:$F$346,6,0),IFERROR(VLOOKUP($I366,'Privacy Analyst Evaluation'!$A$46:$F$120,6,0),""))&amp;""</f>
        <v/>
      </c>
    </row>
    <row r="367" spans="1:338" ht="17">
      <c r="A367" s="216" t="str">
        <f>IFERROR(IF($A366+1&gt;'(backend scoring)'!$T$335,"",$A366+1),"")</f>
        <v/>
      </c>
      <c r="B367" s="216" t="e">
        <f ca="1">_xlfn.XLOOKUP($A367,'(backend scoring)'!$V$2:$V$333,'(backend scoring)'!$A$2:$A$333,"")</f>
        <v>#NAME?</v>
      </c>
      <c r="C367" s="216" t="str">
        <f ca="1">IFERROR(VLOOKUP($B367,'Institution Evaluation'!$A$55:$F$346,2,0),IFERROR(VLOOKUP($B367,'Privacy Analyst Evaluation'!$A$46:$F$120,2,0),""))&amp;""</f>
        <v/>
      </c>
      <c r="D367" s="216" t="str">
        <f ca="1">IFERROR(VLOOKUP($B367,'Institution Evaluation'!$A$55:$F$346,3,0),IFERROR(VLOOKUP($B367,'Privacy Analyst Evaluation'!$A$46:$F$120,3,0),""))&amp;""</f>
        <v/>
      </c>
      <c r="E367" s="216" t="str">
        <f ca="1">IFERROR(VLOOKUP($B367,'Institution Evaluation'!$A$55:$F$346,4,0),IFERROR(VLOOKUP($B367,'Privacy Analyst Evaluation'!$A$46:$F$120,4,0),""))&amp;""</f>
        <v/>
      </c>
      <c r="F367" s="216" t="str">
        <f ca="1">IFERROR(VLOOKUP($B367,'Institution Evaluation'!$A$55:$F$346,6,0),IFERROR(VLOOKUP($B367,'Privacy Analyst Evaluation'!$A$46:$F$120,6,0),""))&amp;""</f>
        <v/>
      </c>
      <c r="G367" s="217"/>
      <c r="H367" s="216" t="str">
        <f>IFERROR(IF($H366+1&gt;'(backend scoring)'!$Q$335,"",$H366+1),"")</f>
        <v/>
      </c>
      <c r="I367" s="216" t="e">
        <f ca="1">_xlfn.XLOOKUP($H367,'(backend scoring)'!$S$2:$S$333,'(backend scoring)'!$A$2:$A$333,"")</f>
        <v>#NAME?</v>
      </c>
      <c r="J367" s="216" t="str">
        <f ca="1">IFERROR(VLOOKUP($I367,'Institution Evaluation'!$A$55:$F$346,2,0),IFERROR(VLOOKUP($I367,'Privacy Analyst Evaluation'!$A$46:$F$120,2,0),""))</f>
        <v/>
      </c>
      <c r="K367" s="216" t="str">
        <f ca="1">IFERROR(VLOOKUP($I367,'Institution Evaluation'!$A$55:$F$346,3,0),IFERROR(VLOOKUP($I367,'Privacy Analyst Evaluation'!$A$46:$F$120,3,0),""))&amp;""</f>
        <v/>
      </c>
      <c r="L367" s="216" t="str">
        <f ca="1">IFERROR(VLOOKUP($I367,'Institution Evaluation'!$A$55:$F$346,4,0),IFERROR(VLOOKUP($I367,'Privacy Analyst Evaluation'!$A$46:$F$120,4,0),""))&amp;""</f>
        <v/>
      </c>
      <c r="M367" s="216" t="str">
        <f ca="1">IFERROR(VLOOKUP($I367,'Institution Evaluation'!$A$55:$F$346,6,0),IFERROR(VLOOKUP($I367,'Privacy Analyst Evaluation'!$A$46:$F$120,6,0),""))&amp;""</f>
        <v/>
      </c>
    </row>
    <row r="368" spans="1:338" ht="17">
      <c r="A368" s="216" t="str">
        <f>IFERROR(IF($A367+1&gt;'(backend scoring)'!$T$335,"",$A367+1),"")</f>
        <v/>
      </c>
      <c r="B368" s="216" t="e">
        <f ca="1">_xlfn.XLOOKUP($A368,'(backend scoring)'!$V$2:$V$333,'(backend scoring)'!$A$2:$A$333,"")</f>
        <v>#NAME?</v>
      </c>
      <c r="C368" s="216" t="str">
        <f ca="1">IFERROR(VLOOKUP($B368,'Institution Evaluation'!$A$55:$F$346,2,0),IFERROR(VLOOKUP($B368,'Privacy Analyst Evaluation'!$A$46:$F$120,2,0),""))&amp;""</f>
        <v/>
      </c>
      <c r="D368" s="216" t="str">
        <f ca="1">IFERROR(VLOOKUP($B368,'Institution Evaluation'!$A$55:$F$346,3,0),IFERROR(VLOOKUP($B368,'Privacy Analyst Evaluation'!$A$46:$F$120,3,0),""))&amp;""</f>
        <v/>
      </c>
      <c r="E368" s="216" t="str">
        <f ca="1">IFERROR(VLOOKUP($B368,'Institution Evaluation'!$A$55:$F$346,4,0),IFERROR(VLOOKUP($B368,'Privacy Analyst Evaluation'!$A$46:$F$120,4,0),""))&amp;""</f>
        <v/>
      </c>
      <c r="F368" s="216" t="str">
        <f ca="1">IFERROR(VLOOKUP($B368,'Institution Evaluation'!$A$55:$F$346,6,0),IFERROR(VLOOKUP($B368,'Privacy Analyst Evaluation'!$A$46:$F$120,6,0),""))&amp;""</f>
        <v/>
      </c>
      <c r="G368" s="217"/>
      <c r="H368" s="216" t="str">
        <f>IFERROR(IF($H367+1&gt;'(backend scoring)'!$Q$335,"",$H367+1),"")</f>
        <v/>
      </c>
      <c r="I368" s="216" t="e">
        <f ca="1">_xlfn.XLOOKUP($H368,'(backend scoring)'!$S$2:$S$333,'(backend scoring)'!$A$2:$A$333,"")</f>
        <v>#NAME?</v>
      </c>
      <c r="J368" s="216" t="str">
        <f ca="1">IFERROR(VLOOKUP($I368,'Institution Evaluation'!$A$55:$F$346,2,0),IFERROR(VLOOKUP($I368,'Privacy Analyst Evaluation'!$A$46:$F$120,2,0),""))</f>
        <v/>
      </c>
      <c r="K368" s="216" t="str">
        <f ca="1">IFERROR(VLOOKUP($I368,'Institution Evaluation'!$A$55:$F$346,3,0),IFERROR(VLOOKUP($I368,'Privacy Analyst Evaluation'!$A$46:$F$120,3,0),""))&amp;""</f>
        <v/>
      </c>
      <c r="L368" s="216" t="str">
        <f ca="1">IFERROR(VLOOKUP($I368,'Institution Evaluation'!$A$55:$F$346,4,0),IFERROR(VLOOKUP($I368,'Privacy Analyst Evaluation'!$A$46:$F$120,4,0),""))&amp;""</f>
        <v/>
      </c>
      <c r="M368" s="216" t="str">
        <f ca="1">IFERROR(VLOOKUP($I368,'Institution Evaluation'!$A$55:$F$346,6,0),IFERROR(VLOOKUP($I368,'Privacy Analyst Evaluation'!$A$46:$F$120,6,0),""))&amp;""</f>
        <v/>
      </c>
      <c r="N368" s="255" t="s">
        <v>1531</v>
      </c>
    </row>
    <row r="369" spans="1:2">
      <c r="A369" s="256" t="s">
        <v>1532</v>
      </c>
      <c r="B369" s="256" t="s">
        <v>1532</v>
      </c>
    </row>
    <row r="370" spans="1:2" hidden="1">
      <c r="A370"/>
      <c r="B370"/>
    </row>
    <row r="371" spans="1:2" hidden="1">
      <c r="A371"/>
      <c r="B371"/>
    </row>
    <row r="372" spans="1:2" hidden="1">
      <c r="A372"/>
      <c r="B372"/>
    </row>
    <row r="373" spans="1:2" hidden="1">
      <c r="A373"/>
      <c r="B373"/>
    </row>
    <row r="374" spans="1:2" hidden="1">
      <c r="A374"/>
      <c r="B374"/>
    </row>
    <row r="375" spans="1:2" hidden="1">
      <c r="A375"/>
      <c r="B375"/>
    </row>
    <row r="376" spans="1:2" hidden="1">
      <c r="A376"/>
      <c r="B376"/>
    </row>
    <row r="377" spans="1:2" hidden="1">
      <c r="A377"/>
      <c r="B377"/>
    </row>
    <row r="378" spans="1:2" hidden="1">
      <c r="A378"/>
      <c r="B378"/>
    </row>
    <row r="379" spans="1:2" hidden="1">
      <c r="A379"/>
      <c r="B379"/>
    </row>
    <row r="380" spans="1:2" hidden="1">
      <c r="A380"/>
      <c r="B380"/>
    </row>
    <row r="381" spans="1:2" hidden="1">
      <c r="A381"/>
      <c r="B381"/>
    </row>
    <row r="382" spans="1:2" hidden="1">
      <c r="A382"/>
      <c r="B382"/>
    </row>
    <row r="383" spans="1:2" hidden="1">
      <c r="A383"/>
      <c r="B383"/>
    </row>
    <row r="384" spans="1:2" hidden="1">
      <c r="A384"/>
      <c r="B384"/>
    </row>
    <row r="385" spans="1:2" hidden="1">
      <c r="A385"/>
      <c r="B385"/>
    </row>
    <row r="386" spans="1:2" hidden="1">
      <c r="A386"/>
      <c r="B386"/>
    </row>
    <row r="387" spans="1:2" hidden="1">
      <c r="A387"/>
      <c r="B387"/>
    </row>
    <row r="388" spans="1:2" hidden="1">
      <c r="A388"/>
      <c r="B388"/>
    </row>
    <row r="389" spans="1:2" hidden="1">
      <c r="A389"/>
      <c r="B389"/>
    </row>
    <row r="390" spans="1:2" hidden="1">
      <c r="A390"/>
      <c r="B390"/>
    </row>
    <row r="391" spans="1:2" hidden="1">
      <c r="A391"/>
      <c r="B391"/>
    </row>
    <row r="392" spans="1:2" hidden="1">
      <c r="A392"/>
      <c r="B392"/>
    </row>
    <row r="393" spans="1:2" hidden="1">
      <c r="A393"/>
      <c r="B393"/>
    </row>
    <row r="394" spans="1:2" hidden="1">
      <c r="A394"/>
      <c r="B394"/>
    </row>
    <row r="395" spans="1:2" hidden="1">
      <c r="A395"/>
      <c r="B395"/>
    </row>
    <row r="396" spans="1:2" hidden="1">
      <c r="A396"/>
      <c r="B396"/>
    </row>
    <row r="397" spans="1:2" hidden="1">
      <c r="A397"/>
      <c r="B397"/>
    </row>
    <row r="398" spans="1:2" hidden="1">
      <c r="A398"/>
      <c r="B398"/>
    </row>
    <row r="399" spans="1:2" hidden="1">
      <c r="A399"/>
      <c r="B399"/>
    </row>
    <row r="400" spans="1:2" hidden="1">
      <c r="A400"/>
      <c r="B400"/>
    </row>
    <row r="401" spans="1:2" hidden="1">
      <c r="A401"/>
      <c r="B401"/>
    </row>
    <row r="402" spans="1:2" hidden="1">
      <c r="A402"/>
      <c r="B402"/>
    </row>
    <row r="403" spans="1:2" hidden="1">
      <c r="A403"/>
      <c r="B403"/>
    </row>
    <row r="404" spans="1:2" hidden="1">
      <c r="A404"/>
      <c r="B404"/>
    </row>
    <row r="405" spans="1:2" hidden="1">
      <c r="A405"/>
      <c r="B405"/>
    </row>
    <row r="406" spans="1:2" hidden="1">
      <c r="A406"/>
      <c r="B406"/>
    </row>
    <row r="407" spans="1:2" hidden="1">
      <c r="A407"/>
      <c r="B407"/>
    </row>
    <row r="408" spans="1:2" hidden="1">
      <c r="A408"/>
      <c r="B408"/>
    </row>
    <row r="409" spans="1:2" hidden="1">
      <c r="A409"/>
      <c r="B409"/>
    </row>
    <row r="410" spans="1:2" hidden="1">
      <c r="A410"/>
      <c r="B410"/>
    </row>
    <row r="411" spans="1:2" hidden="1">
      <c r="A411"/>
      <c r="B411"/>
    </row>
    <row r="412" spans="1:2" hidden="1">
      <c r="A412"/>
      <c r="B412"/>
    </row>
    <row r="413" spans="1:2" hidden="1">
      <c r="A413"/>
      <c r="B413"/>
    </row>
    <row r="414" spans="1:2" hidden="1">
      <c r="A414"/>
      <c r="B414"/>
    </row>
    <row r="415" spans="1:2" hidden="1">
      <c r="A415"/>
      <c r="B415"/>
    </row>
    <row r="416" spans="1:2" hidden="1">
      <c r="A416"/>
      <c r="B416"/>
    </row>
    <row r="417" spans="1:2" hidden="1">
      <c r="A417"/>
      <c r="B417"/>
    </row>
    <row r="418" spans="1:2" hidden="1">
      <c r="A418"/>
      <c r="B418"/>
    </row>
    <row r="419" spans="1:2" hidden="1">
      <c r="A419"/>
      <c r="B419"/>
    </row>
    <row r="420" spans="1:2" hidden="1">
      <c r="A420"/>
      <c r="B420"/>
    </row>
    <row r="421" spans="1:2" hidden="1">
      <c r="A421"/>
      <c r="B421"/>
    </row>
    <row r="422" spans="1:2" hidden="1">
      <c r="A422"/>
      <c r="B422"/>
    </row>
    <row r="423" spans="1:2" hidden="1">
      <c r="A423"/>
      <c r="B423"/>
    </row>
    <row r="424" spans="1:2" hidden="1">
      <c r="A424"/>
      <c r="B424"/>
    </row>
    <row r="425" spans="1:2" hidden="1">
      <c r="A425"/>
      <c r="B425"/>
    </row>
    <row r="426" spans="1:2" hidden="1">
      <c r="A426"/>
      <c r="B426"/>
    </row>
    <row r="427" spans="1:2" hidden="1">
      <c r="A427"/>
      <c r="B427"/>
    </row>
    <row r="428" spans="1:2" hidden="1">
      <c r="A428"/>
      <c r="B428"/>
    </row>
    <row r="429" spans="1:2" hidden="1">
      <c r="A429"/>
      <c r="B429"/>
    </row>
    <row r="430" spans="1:2" hidden="1">
      <c r="A430"/>
      <c r="B430"/>
    </row>
    <row r="431" spans="1:2" hidden="1">
      <c r="A431"/>
      <c r="B431"/>
    </row>
    <row r="432" spans="1:2" hidden="1">
      <c r="A432"/>
      <c r="B432"/>
    </row>
    <row r="433" spans="1:2" hidden="1">
      <c r="A433"/>
      <c r="B433"/>
    </row>
    <row r="434" spans="1:2" hidden="1">
      <c r="A434"/>
      <c r="B434"/>
    </row>
    <row r="435" spans="1:2" hidden="1">
      <c r="A435"/>
      <c r="B435"/>
    </row>
    <row r="436" spans="1:2" hidden="1">
      <c r="A436"/>
      <c r="B436"/>
    </row>
    <row r="437" spans="1:2" hidden="1">
      <c r="A437"/>
      <c r="B437"/>
    </row>
    <row r="438" spans="1:2" hidden="1">
      <c r="A438"/>
      <c r="B438"/>
    </row>
    <row r="439" spans="1:2" hidden="1">
      <c r="A439"/>
      <c r="B439"/>
    </row>
    <row r="440" spans="1:2" hidden="1">
      <c r="A440"/>
      <c r="B440"/>
    </row>
    <row r="441" spans="1:2" hidden="1">
      <c r="A441"/>
      <c r="B441"/>
    </row>
    <row r="442" spans="1:2" hidden="1">
      <c r="A442"/>
      <c r="B442"/>
    </row>
    <row r="443" spans="1:2" hidden="1">
      <c r="A443"/>
      <c r="B443"/>
    </row>
    <row r="444" spans="1:2" hidden="1">
      <c r="A444"/>
      <c r="B444"/>
    </row>
    <row r="445" spans="1:2" hidden="1">
      <c r="A445"/>
      <c r="B445"/>
    </row>
    <row r="446" spans="1:2" hidden="1">
      <c r="A446"/>
      <c r="B446"/>
    </row>
    <row r="447" spans="1:2" hidden="1">
      <c r="A447"/>
      <c r="B447"/>
    </row>
    <row r="448" spans="1:2" hidden="1">
      <c r="A448"/>
      <c r="B448"/>
    </row>
    <row r="449" spans="1:2" hidden="1">
      <c r="A449"/>
      <c r="B449"/>
    </row>
    <row r="450" spans="1:2" hidden="1">
      <c r="A450"/>
      <c r="B450"/>
    </row>
    <row r="451" spans="1:2" hidden="1">
      <c r="A451"/>
      <c r="B451"/>
    </row>
    <row r="452" spans="1:2" hidden="1">
      <c r="A452"/>
      <c r="B452"/>
    </row>
    <row r="453" spans="1:2" hidden="1">
      <c r="A453"/>
      <c r="B453"/>
    </row>
    <row r="454" spans="1:2" hidden="1">
      <c r="A454"/>
      <c r="B454"/>
    </row>
    <row r="455" spans="1:2" hidden="1">
      <c r="A455"/>
      <c r="B455"/>
    </row>
    <row r="456" spans="1:2" hidden="1">
      <c r="A456"/>
      <c r="B456"/>
    </row>
    <row r="457" spans="1:2" hidden="1">
      <c r="A457"/>
      <c r="B457"/>
    </row>
    <row r="458" spans="1:2" hidden="1">
      <c r="A458"/>
      <c r="B458"/>
    </row>
    <row r="459" spans="1:2" hidden="1">
      <c r="A459"/>
      <c r="B459"/>
    </row>
    <row r="460" spans="1:2" hidden="1">
      <c r="A460"/>
      <c r="B460"/>
    </row>
    <row r="461" spans="1:2" hidden="1">
      <c r="A461"/>
      <c r="B461"/>
    </row>
    <row r="462" spans="1:2" hidden="1">
      <c r="A462"/>
      <c r="B462"/>
    </row>
    <row r="463" spans="1:2" hidden="1">
      <c r="A463"/>
      <c r="B463"/>
    </row>
    <row r="464" spans="1:2" hidden="1">
      <c r="A464"/>
      <c r="B464"/>
    </row>
    <row r="465" spans="1:2" hidden="1">
      <c r="A465"/>
      <c r="B465"/>
    </row>
    <row r="466" spans="1:2" hidden="1">
      <c r="A466"/>
      <c r="B466"/>
    </row>
    <row r="467" spans="1:2" hidden="1">
      <c r="A467"/>
      <c r="B467"/>
    </row>
    <row r="468" spans="1:2" hidden="1">
      <c r="A468"/>
      <c r="B468"/>
    </row>
    <row r="469" spans="1:2" hidden="1">
      <c r="A469"/>
      <c r="B469"/>
    </row>
    <row r="470" spans="1:2" hidden="1">
      <c r="A470"/>
      <c r="B470"/>
    </row>
    <row r="471" spans="1:2" hidden="1">
      <c r="A471"/>
      <c r="B471"/>
    </row>
    <row r="472" spans="1:2" hidden="1">
      <c r="A472"/>
      <c r="B472"/>
    </row>
    <row r="473" spans="1:2" hidden="1">
      <c r="A473"/>
      <c r="B473"/>
    </row>
    <row r="474" spans="1:2" hidden="1">
      <c r="A474"/>
      <c r="B474"/>
    </row>
    <row r="475" spans="1:2" hidden="1">
      <c r="A475"/>
      <c r="B475"/>
    </row>
    <row r="476" spans="1:2" hidden="1">
      <c r="A476"/>
      <c r="B476"/>
    </row>
    <row r="477" spans="1:2" hidden="1">
      <c r="A477"/>
      <c r="B477"/>
    </row>
    <row r="478" spans="1:2" hidden="1">
      <c r="A478"/>
      <c r="B478"/>
    </row>
    <row r="479" spans="1:2" hidden="1">
      <c r="A479"/>
      <c r="B479"/>
    </row>
    <row r="480" spans="1:2" hidden="1">
      <c r="A480"/>
      <c r="B480"/>
    </row>
    <row r="481" spans="1:2" hidden="1">
      <c r="A481"/>
      <c r="B481"/>
    </row>
    <row r="482" spans="1:2" hidden="1">
      <c r="A482"/>
      <c r="B482"/>
    </row>
    <row r="483" spans="1:2" hidden="1">
      <c r="A483"/>
      <c r="B483"/>
    </row>
    <row r="484" spans="1:2" hidden="1">
      <c r="A484"/>
      <c r="B484"/>
    </row>
    <row r="485" spans="1:2" hidden="1">
      <c r="A485"/>
      <c r="B485"/>
    </row>
    <row r="486" spans="1:2" hidden="1">
      <c r="A486"/>
      <c r="B486"/>
    </row>
    <row r="487" spans="1:2" hidden="1">
      <c r="A487"/>
      <c r="B487"/>
    </row>
    <row r="488" spans="1:2" hidden="1">
      <c r="A488"/>
      <c r="B488"/>
    </row>
    <row r="489" spans="1:2" hidden="1">
      <c r="A489"/>
      <c r="B489"/>
    </row>
    <row r="490" spans="1:2" hidden="1">
      <c r="A490"/>
      <c r="B490"/>
    </row>
    <row r="491" spans="1:2" hidden="1">
      <c r="A491"/>
      <c r="B491"/>
    </row>
    <row r="492" spans="1:2" hidden="1">
      <c r="A492"/>
      <c r="B492"/>
    </row>
    <row r="493" spans="1:2" hidden="1">
      <c r="A493"/>
      <c r="B493"/>
    </row>
    <row r="494" spans="1:2" hidden="1">
      <c r="A494"/>
      <c r="B494"/>
    </row>
    <row r="495" spans="1:2" hidden="1">
      <c r="A495"/>
      <c r="B495"/>
    </row>
    <row r="496" spans="1:2" hidden="1">
      <c r="A496"/>
      <c r="B496"/>
    </row>
    <row r="497" spans="1:2" hidden="1">
      <c r="A497"/>
      <c r="B497"/>
    </row>
    <row r="498" spans="1:2" hidden="1">
      <c r="A498"/>
      <c r="B498"/>
    </row>
    <row r="499" spans="1:2" hidden="1">
      <c r="A499"/>
      <c r="B499"/>
    </row>
    <row r="500" spans="1:2" hidden="1">
      <c r="A500"/>
      <c r="B500"/>
    </row>
    <row r="501" spans="1:2" hidden="1">
      <c r="A501"/>
      <c r="B501"/>
    </row>
    <row r="502" spans="1:2" hidden="1">
      <c r="A502"/>
      <c r="B502"/>
    </row>
    <row r="503" spans="1:2" hidden="1">
      <c r="A503"/>
      <c r="B503"/>
    </row>
    <row r="504" spans="1:2" hidden="1">
      <c r="A504"/>
      <c r="B504"/>
    </row>
    <row r="505" spans="1:2" hidden="1">
      <c r="A505"/>
      <c r="B505"/>
    </row>
    <row r="506" spans="1:2" hidden="1">
      <c r="A506"/>
      <c r="B506"/>
    </row>
    <row r="507" spans="1:2" hidden="1">
      <c r="A507"/>
      <c r="B507"/>
    </row>
    <row r="508" spans="1:2" hidden="1">
      <c r="A508"/>
      <c r="B508"/>
    </row>
    <row r="509" spans="1:2" hidden="1">
      <c r="A509"/>
      <c r="B509"/>
    </row>
    <row r="510" spans="1:2" hidden="1">
      <c r="A510"/>
      <c r="B510"/>
    </row>
    <row r="511" spans="1:2" hidden="1">
      <c r="A511"/>
      <c r="B511"/>
    </row>
    <row r="512" spans="1:2" hidden="1">
      <c r="A512"/>
      <c r="B512"/>
    </row>
    <row r="513" spans="1:2" hidden="1">
      <c r="A513"/>
      <c r="B513"/>
    </row>
    <row r="514" spans="1:2" hidden="1">
      <c r="A514"/>
      <c r="B514"/>
    </row>
    <row r="515" spans="1:2" hidden="1">
      <c r="A515"/>
      <c r="B515"/>
    </row>
    <row r="516" spans="1:2" hidden="1">
      <c r="A516"/>
      <c r="B516"/>
    </row>
    <row r="517" spans="1:2" hidden="1">
      <c r="A517"/>
      <c r="B517"/>
    </row>
    <row r="518" spans="1:2" hidden="1">
      <c r="A518"/>
      <c r="B518"/>
    </row>
    <row r="519" spans="1:2" hidden="1">
      <c r="A519"/>
      <c r="B519"/>
    </row>
    <row r="520" spans="1:2" hidden="1">
      <c r="A520"/>
      <c r="B520"/>
    </row>
    <row r="521" spans="1:2" hidden="1">
      <c r="A521"/>
      <c r="B521"/>
    </row>
    <row r="522" spans="1:2" hidden="1">
      <c r="A522"/>
      <c r="B522"/>
    </row>
    <row r="523" spans="1:2" hidden="1">
      <c r="A523"/>
      <c r="B523"/>
    </row>
    <row r="524" spans="1:2" hidden="1">
      <c r="A524"/>
      <c r="B524"/>
    </row>
    <row r="525" spans="1:2" hidden="1">
      <c r="A525"/>
      <c r="B525"/>
    </row>
    <row r="526" spans="1:2" hidden="1">
      <c r="A526"/>
      <c r="B526"/>
    </row>
    <row r="527" spans="1:2" hidden="1">
      <c r="A527"/>
      <c r="B527"/>
    </row>
    <row r="528" spans="1:2" hidden="1">
      <c r="A528"/>
      <c r="B528"/>
    </row>
    <row r="529" spans="1:2" hidden="1">
      <c r="A529"/>
      <c r="B529"/>
    </row>
    <row r="530" spans="1:2" hidden="1">
      <c r="A530"/>
      <c r="B530"/>
    </row>
    <row r="531" spans="1:2" hidden="1">
      <c r="A531"/>
      <c r="B531"/>
    </row>
    <row r="532" spans="1:2" hidden="1">
      <c r="A532"/>
      <c r="B532"/>
    </row>
    <row r="533" spans="1:2" hidden="1">
      <c r="A533"/>
      <c r="B533"/>
    </row>
    <row r="534" spans="1:2" hidden="1">
      <c r="A534"/>
      <c r="B534"/>
    </row>
    <row r="535" spans="1:2" hidden="1">
      <c r="A535"/>
      <c r="B535"/>
    </row>
    <row r="536" spans="1:2" hidden="1">
      <c r="A536"/>
      <c r="B536"/>
    </row>
    <row r="537" spans="1:2" hidden="1">
      <c r="A537"/>
      <c r="B537"/>
    </row>
    <row r="538" spans="1:2" hidden="1">
      <c r="A538"/>
      <c r="B538"/>
    </row>
    <row r="539" spans="1:2" hidden="1">
      <c r="A539"/>
      <c r="B539"/>
    </row>
    <row r="540" spans="1:2" hidden="1">
      <c r="A540"/>
      <c r="B540"/>
    </row>
    <row r="541" spans="1:2" hidden="1">
      <c r="A541"/>
      <c r="B541"/>
    </row>
    <row r="542" spans="1:2" hidden="1">
      <c r="A542"/>
      <c r="B542"/>
    </row>
    <row r="543" spans="1:2" hidden="1">
      <c r="A543"/>
      <c r="B543"/>
    </row>
    <row r="544" spans="1:2" hidden="1">
      <c r="A544"/>
      <c r="B544"/>
    </row>
    <row r="545" spans="1:2" hidden="1">
      <c r="A545"/>
      <c r="B545"/>
    </row>
    <row r="546" spans="1:2" hidden="1">
      <c r="A546"/>
      <c r="B546"/>
    </row>
    <row r="547" spans="1:2" hidden="1">
      <c r="A547"/>
      <c r="B547"/>
    </row>
    <row r="548" spans="1:2" hidden="1">
      <c r="A548"/>
      <c r="B548"/>
    </row>
    <row r="549" spans="1:2" hidden="1">
      <c r="A549"/>
      <c r="B549"/>
    </row>
    <row r="550" spans="1:2" hidden="1">
      <c r="A550"/>
      <c r="B550"/>
    </row>
    <row r="551" spans="1:2" hidden="1">
      <c r="A551"/>
      <c r="B551"/>
    </row>
    <row r="552" spans="1:2" hidden="1">
      <c r="A552"/>
      <c r="B552"/>
    </row>
    <row r="553" spans="1:2" hidden="1">
      <c r="A553"/>
      <c r="B553"/>
    </row>
    <row r="554" spans="1:2" hidden="1">
      <c r="A554"/>
      <c r="B554"/>
    </row>
    <row r="555" spans="1:2" hidden="1">
      <c r="A555"/>
      <c r="B555"/>
    </row>
    <row r="556" spans="1:2" hidden="1">
      <c r="A556"/>
      <c r="B556"/>
    </row>
    <row r="557" spans="1:2" hidden="1">
      <c r="A557"/>
      <c r="B557"/>
    </row>
    <row r="558" spans="1:2" hidden="1">
      <c r="A558"/>
      <c r="B558"/>
    </row>
    <row r="559" spans="1:2" hidden="1">
      <c r="A559"/>
      <c r="B559"/>
    </row>
    <row r="560" spans="1:2" hidden="1">
      <c r="A560"/>
      <c r="B560"/>
    </row>
    <row r="561" spans="1:2" hidden="1">
      <c r="A561"/>
      <c r="B561"/>
    </row>
    <row r="562" spans="1:2" hidden="1">
      <c r="A562"/>
      <c r="B562"/>
    </row>
    <row r="563" spans="1:2" hidden="1">
      <c r="A563"/>
      <c r="B563"/>
    </row>
    <row r="564" spans="1:2" hidden="1">
      <c r="A564"/>
      <c r="B564"/>
    </row>
    <row r="565" spans="1:2" hidden="1">
      <c r="A565"/>
      <c r="B565"/>
    </row>
    <row r="566" spans="1:2" hidden="1">
      <c r="A566"/>
      <c r="B566"/>
    </row>
    <row r="567" spans="1:2" hidden="1">
      <c r="A567"/>
      <c r="B567"/>
    </row>
    <row r="568" spans="1:2" hidden="1">
      <c r="A568"/>
      <c r="B568"/>
    </row>
    <row r="569" spans="1:2" hidden="1">
      <c r="A569"/>
      <c r="B569"/>
    </row>
    <row r="570" spans="1:2" hidden="1">
      <c r="A570"/>
      <c r="B570"/>
    </row>
    <row r="571" spans="1:2" hidden="1">
      <c r="A571"/>
      <c r="B571"/>
    </row>
    <row r="572" spans="1:2" hidden="1">
      <c r="A572"/>
      <c r="B572"/>
    </row>
    <row r="573" spans="1:2" hidden="1">
      <c r="A573"/>
      <c r="B573"/>
    </row>
    <row r="574" spans="1:2" hidden="1">
      <c r="A574"/>
      <c r="B574"/>
    </row>
    <row r="575" spans="1:2" hidden="1">
      <c r="A575"/>
      <c r="B575"/>
    </row>
    <row r="576" spans="1:2" hidden="1">
      <c r="A576"/>
      <c r="B576"/>
    </row>
    <row r="577" spans="1:2" hidden="1">
      <c r="A577"/>
      <c r="B577"/>
    </row>
    <row r="578" spans="1:2" hidden="1">
      <c r="A578"/>
      <c r="B578"/>
    </row>
    <row r="579" spans="1:2" hidden="1">
      <c r="A579"/>
      <c r="B579"/>
    </row>
    <row r="580" spans="1:2" hidden="1">
      <c r="A580"/>
      <c r="B580"/>
    </row>
    <row r="581" spans="1:2" hidden="1">
      <c r="A581"/>
      <c r="B581"/>
    </row>
    <row r="582" spans="1:2" hidden="1">
      <c r="A582"/>
      <c r="B582"/>
    </row>
    <row r="583" spans="1:2" hidden="1">
      <c r="A583"/>
      <c r="B583"/>
    </row>
    <row r="584" spans="1:2" hidden="1">
      <c r="A584"/>
      <c r="B584"/>
    </row>
    <row r="585" spans="1:2" hidden="1">
      <c r="A585"/>
      <c r="B585"/>
    </row>
    <row r="586" spans="1:2" hidden="1">
      <c r="A586"/>
      <c r="B586"/>
    </row>
    <row r="587" spans="1:2" hidden="1">
      <c r="A587"/>
      <c r="B587"/>
    </row>
    <row r="588" spans="1:2" hidden="1">
      <c r="A588"/>
      <c r="B588"/>
    </row>
    <row r="589" spans="1:2" hidden="1">
      <c r="A589"/>
      <c r="B589"/>
    </row>
    <row r="590" spans="1:2" hidden="1">
      <c r="A590"/>
      <c r="B590"/>
    </row>
    <row r="591" spans="1:2" hidden="1">
      <c r="A591"/>
      <c r="B591"/>
    </row>
    <row r="592" spans="1:2" hidden="1">
      <c r="A592"/>
      <c r="B592"/>
    </row>
    <row r="593" spans="1:2" hidden="1">
      <c r="A593"/>
      <c r="B593"/>
    </row>
    <row r="594" spans="1:2" hidden="1">
      <c r="A594"/>
      <c r="B594"/>
    </row>
    <row r="595" spans="1:2" hidden="1">
      <c r="A595"/>
      <c r="B595"/>
    </row>
    <row r="596" spans="1:2" hidden="1">
      <c r="A596"/>
      <c r="B596"/>
    </row>
    <row r="597" spans="1:2" hidden="1">
      <c r="A597"/>
      <c r="B597"/>
    </row>
    <row r="598" spans="1:2" hidden="1">
      <c r="A598"/>
      <c r="B598"/>
    </row>
    <row r="599" spans="1:2" hidden="1">
      <c r="A599"/>
      <c r="B599"/>
    </row>
    <row r="600" spans="1:2" hidden="1">
      <c r="A600"/>
      <c r="B600"/>
    </row>
    <row r="601" spans="1:2" hidden="1">
      <c r="A601"/>
      <c r="B601"/>
    </row>
    <row r="602" spans="1:2" hidden="1">
      <c r="A602"/>
      <c r="B602"/>
    </row>
    <row r="603" spans="1:2" hidden="1">
      <c r="A603"/>
      <c r="B603"/>
    </row>
    <row r="604" spans="1:2" hidden="1">
      <c r="A604"/>
      <c r="B604"/>
    </row>
    <row r="605" spans="1:2" hidden="1">
      <c r="A605"/>
      <c r="B605"/>
    </row>
    <row r="606" spans="1:2" hidden="1">
      <c r="A606"/>
      <c r="B606"/>
    </row>
    <row r="607" spans="1:2" hidden="1">
      <c r="A607"/>
      <c r="B607"/>
    </row>
    <row r="608" spans="1:2" hidden="1">
      <c r="A608"/>
      <c r="B608"/>
    </row>
    <row r="609" spans="1:2" hidden="1">
      <c r="A609"/>
      <c r="B609"/>
    </row>
    <row r="610" spans="1:2" hidden="1">
      <c r="A610"/>
      <c r="B610"/>
    </row>
    <row r="611" spans="1:2" hidden="1">
      <c r="A611"/>
      <c r="B611"/>
    </row>
    <row r="612" spans="1:2" hidden="1">
      <c r="A612"/>
      <c r="B612"/>
    </row>
    <row r="613" spans="1:2" hidden="1">
      <c r="A613"/>
      <c r="B613"/>
    </row>
    <row r="614" spans="1:2" hidden="1">
      <c r="A614"/>
      <c r="B614"/>
    </row>
    <row r="615" spans="1:2" hidden="1">
      <c r="A615"/>
      <c r="B615"/>
    </row>
    <row r="616" spans="1:2" hidden="1">
      <c r="A616"/>
      <c r="B616"/>
    </row>
    <row r="617" spans="1:2" hidden="1">
      <c r="A617"/>
      <c r="B617"/>
    </row>
    <row r="618" spans="1:2" hidden="1">
      <c r="A618"/>
      <c r="B618"/>
    </row>
    <row r="619" spans="1:2" hidden="1">
      <c r="A619"/>
      <c r="B619"/>
    </row>
    <row r="620" spans="1:2" hidden="1">
      <c r="A620"/>
      <c r="B620"/>
    </row>
    <row r="621" spans="1:2" hidden="1">
      <c r="A621"/>
      <c r="B621"/>
    </row>
    <row r="622" spans="1:2" hidden="1">
      <c r="A622"/>
      <c r="B622"/>
    </row>
    <row r="623" spans="1:2" hidden="1">
      <c r="A623"/>
      <c r="B623"/>
    </row>
    <row r="624" spans="1:2" hidden="1">
      <c r="A624"/>
      <c r="B624"/>
    </row>
    <row r="625" spans="1:2" hidden="1">
      <c r="A625"/>
      <c r="B625"/>
    </row>
    <row r="626" spans="1:2" hidden="1">
      <c r="A626"/>
      <c r="B626"/>
    </row>
    <row r="627" spans="1:2" hidden="1">
      <c r="A627"/>
      <c r="B627"/>
    </row>
    <row r="628" spans="1:2" hidden="1">
      <c r="A628"/>
      <c r="B628"/>
    </row>
    <row r="629" spans="1:2" hidden="1">
      <c r="A629"/>
      <c r="B629"/>
    </row>
    <row r="630" spans="1:2" hidden="1">
      <c r="A630"/>
      <c r="B630"/>
    </row>
    <row r="631" spans="1:2" hidden="1">
      <c r="A631"/>
      <c r="B631"/>
    </row>
    <row r="632" spans="1:2" hidden="1">
      <c r="A632"/>
      <c r="B632"/>
    </row>
    <row r="633" spans="1:2" hidden="1">
      <c r="A633"/>
      <c r="B633"/>
    </row>
    <row r="634" spans="1:2" hidden="1">
      <c r="A634"/>
      <c r="B634"/>
    </row>
    <row r="635" spans="1:2" hidden="1">
      <c r="A635"/>
      <c r="B635"/>
    </row>
    <row r="636" spans="1:2" hidden="1">
      <c r="A636"/>
      <c r="B636"/>
    </row>
    <row r="637" spans="1:2" hidden="1">
      <c r="A637"/>
      <c r="B637"/>
    </row>
    <row r="638" spans="1:2" hidden="1">
      <c r="A638"/>
      <c r="B638"/>
    </row>
    <row r="639" spans="1:2" hidden="1">
      <c r="A639"/>
      <c r="B639"/>
    </row>
    <row r="640" spans="1:2" hidden="1">
      <c r="A640"/>
      <c r="B640"/>
    </row>
    <row r="641" spans="1:2" hidden="1">
      <c r="A641"/>
      <c r="B641"/>
    </row>
    <row r="642" spans="1:2" hidden="1">
      <c r="A642"/>
      <c r="B642"/>
    </row>
    <row r="643" spans="1:2" hidden="1">
      <c r="A643"/>
      <c r="B643"/>
    </row>
    <row r="644" spans="1:2" hidden="1">
      <c r="A644"/>
      <c r="B644"/>
    </row>
    <row r="645" spans="1:2" hidden="1">
      <c r="A645"/>
      <c r="B645"/>
    </row>
    <row r="646" spans="1:2" hidden="1">
      <c r="A646"/>
      <c r="B646"/>
    </row>
    <row r="647" spans="1:2" hidden="1">
      <c r="A647"/>
      <c r="B647"/>
    </row>
    <row r="648" spans="1:2" hidden="1">
      <c r="A648"/>
      <c r="B648"/>
    </row>
    <row r="649" spans="1:2" hidden="1">
      <c r="A649"/>
      <c r="B649"/>
    </row>
    <row r="650" spans="1:2" hidden="1">
      <c r="A650"/>
      <c r="B650"/>
    </row>
    <row r="651" spans="1:2" hidden="1">
      <c r="A651"/>
      <c r="B651"/>
    </row>
    <row r="652" spans="1:2" hidden="1">
      <c r="A652"/>
      <c r="B652"/>
    </row>
    <row r="653" spans="1:2" hidden="1">
      <c r="A653"/>
      <c r="B653"/>
    </row>
    <row r="654" spans="1:2" hidden="1">
      <c r="A654"/>
      <c r="B654"/>
    </row>
    <row r="655" spans="1:2" hidden="1">
      <c r="A655"/>
      <c r="B655"/>
    </row>
    <row r="656" spans="1:2" hidden="1">
      <c r="A656"/>
      <c r="B656"/>
    </row>
    <row r="657" spans="1:2" hidden="1">
      <c r="A657"/>
      <c r="B657"/>
    </row>
    <row r="658" spans="1:2" hidden="1">
      <c r="A658"/>
      <c r="B658"/>
    </row>
    <row r="659" spans="1:2" hidden="1">
      <c r="A659"/>
      <c r="B659"/>
    </row>
    <row r="660" spans="1:2" hidden="1">
      <c r="A660"/>
      <c r="B660"/>
    </row>
    <row r="661" spans="1:2" hidden="1">
      <c r="A661"/>
      <c r="B661"/>
    </row>
    <row r="662" spans="1:2" hidden="1">
      <c r="A662"/>
      <c r="B662"/>
    </row>
    <row r="663" spans="1:2" hidden="1">
      <c r="A663"/>
      <c r="B663"/>
    </row>
    <row r="664" spans="1:2" hidden="1">
      <c r="A664"/>
      <c r="B664"/>
    </row>
    <row r="665" spans="1:2" hidden="1">
      <c r="A665"/>
      <c r="B665"/>
    </row>
    <row r="666" spans="1:2" hidden="1">
      <c r="A666"/>
      <c r="B666"/>
    </row>
    <row r="667" spans="1:2" hidden="1">
      <c r="A667"/>
      <c r="B667"/>
    </row>
    <row r="668" spans="1:2" hidden="1">
      <c r="A668"/>
      <c r="B668"/>
    </row>
    <row r="669" spans="1:2" hidden="1">
      <c r="A669"/>
      <c r="B669"/>
    </row>
    <row r="670" spans="1:2" hidden="1">
      <c r="A670"/>
      <c r="B670"/>
    </row>
    <row r="671" spans="1:2" hidden="1">
      <c r="A671"/>
      <c r="B671"/>
    </row>
    <row r="672" spans="1:2" hidden="1">
      <c r="A672"/>
      <c r="B672"/>
    </row>
    <row r="673" spans="1:2" hidden="1">
      <c r="A673"/>
      <c r="B673"/>
    </row>
    <row r="674" spans="1:2" hidden="1">
      <c r="A674"/>
      <c r="B674"/>
    </row>
    <row r="675" spans="1:2" hidden="1">
      <c r="A675"/>
      <c r="B675"/>
    </row>
    <row r="676" spans="1:2" hidden="1">
      <c r="A676"/>
      <c r="B676"/>
    </row>
    <row r="677" spans="1:2" hidden="1">
      <c r="A677"/>
      <c r="B677"/>
    </row>
    <row r="678" spans="1:2" hidden="1">
      <c r="A678"/>
      <c r="B678"/>
    </row>
    <row r="679" spans="1:2" hidden="1">
      <c r="A679"/>
      <c r="B679"/>
    </row>
    <row r="680" spans="1:2" hidden="1">
      <c r="A680"/>
      <c r="B680"/>
    </row>
    <row r="681" spans="1:2" hidden="1">
      <c r="A681"/>
      <c r="B681"/>
    </row>
    <row r="682" spans="1:2" hidden="1">
      <c r="A682"/>
      <c r="B682"/>
    </row>
    <row r="683" spans="1:2" hidden="1">
      <c r="A683"/>
      <c r="B683"/>
    </row>
    <row r="684" spans="1:2" hidden="1">
      <c r="A684"/>
      <c r="B684"/>
    </row>
    <row r="685" spans="1:2" hidden="1">
      <c r="A685"/>
      <c r="B685"/>
    </row>
    <row r="686" spans="1:2" hidden="1">
      <c r="A686"/>
      <c r="B686"/>
    </row>
    <row r="687" spans="1:2" hidden="1">
      <c r="A687"/>
      <c r="B687"/>
    </row>
    <row r="688" spans="1:2" hidden="1">
      <c r="A688"/>
      <c r="B688"/>
    </row>
    <row r="689" spans="1:2" hidden="1">
      <c r="A689"/>
      <c r="B689"/>
    </row>
    <row r="690" spans="1:2" hidden="1">
      <c r="A690"/>
      <c r="B690"/>
    </row>
    <row r="691" spans="1:2" hidden="1">
      <c r="A691"/>
      <c r="B691"/>
    </row>
    <row r="692" spans="1:2" hidden="1">
      <c r="A692"/>
      <c r="B692"/>
    </row>
    <row r="693" spans="1:2" hidden="1">
      <c r="A693"/>
      <c r="B693"/>
    </row>
    <row r="694" spans="1:2" hidden="1">
      <c r="A694"/>
      <c r="B694"/>
    </row>
    <row r="695" spans="1:2" hidden="1">
      <c r="A695"/>
      <c r="B695"/>
    </row>
    <row r="696" spans="1:2"/>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1:M8 A3:A1048576 D16:E1048576 D1:F8 B1:C1048576 A1 H23:M1048576"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75" zoomScale="80" zoomScaleNormal="80" workbookViewId="0">
      <selection activeCell="E84" sqref="E84"/>
    </sheetView>
  </sheetViews>
  <sheetFormatPr baseColWidth="10" defaultColWidth="0" defaultRowHeight="0" customHeight="1" zeroHeight="1"/>
  <cols>
    <col min="1" max="1" width="18.75" style="62" customWidth="1"/>
    <col min="2" max="2" width="41.375" style="62" customWidth="1"/>
    <col min="3" max="9" width="19.625" style="62" customWidth="1"/>
    <col min="10" max="10" width="18.75" style="62" customWidth="1"/>
    <col min="11" max="11" width="16.125" style="62" hidden="1" customWidth="1"/>
    <col min="12" max="12" width="8.5" style="62" customWidth="1"/>
    <col min="13" max="13" width="0" style="62" hidden="1" customWidth="1"/>
    <col min="14" max="16384" width="8.5" style="62" hidden="1"/>
  </cols>
  <sheetData>
    <row r="1" spans="1:10" ht="23.25" hidden="1" customHeight="1">
      <c r="A1" s="62" t="s">
        <v>1534</v>
      </c>
    </row>
    <row r="2" spans="1:10" s="185" customFormat="1" ht="36" customHeight="1">
      <c r="A2" s="183" t="s">
        <v>1564</v>
      </c>
      <c r="B2" s="183"/>
      <c r="C2" s="183"/>
      <c r="D2" s="183"/>
      <c r="E2" s="183"/>
      <c r="F2" s="183"/>
      <c r="G2" s="183"/>
      <c r="H2" s="183"/>
      <c r="I2" s="184" t="str">
        <f>'Auto Responses'!$A$36</f>
        <v>Version 4.1.0</v>
      </c>
      <c r="J2" s="184"/>
    </row>
    <row r="3" spans="1:10" ht="21" customHeight="1">
      <c r="A3" s="105"/>
      <c r="B3" s="105"/>
      <c r="C3" s="105"/>
      <c r="D3" s="105"/>
      <c r="E3" s="105"/>
      <c r="F3" s="105"/>
      <c r="G3" s="105"/>
      <c r="H3" s="105"/>
      <c r="I3" s="105"/>
      <c r="J3" s="105"/>
    </row>
    <row r="4" spans="1:10" ht="36" customHeight="1">
      <c r="A4" s="106" t="s">
        <v>922</v>
      </c>
      <c r="B4" s="107"/>
      <c r="C4" s="107"/>
      <c r="D4" s="107"/>
      <c r="E4" s="107"/>
      <c r="F4" s="107"/>
      <c r="G4" s="107"/>
      <c r="H4" s="107"/>
      <c r="I4" s="107"/>
      <c r="J4" s="107"/>
    </row>
    <row r="5" spans="1:10" s="289" customFormat="1" ht="19.5" customHeight="1">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89" customFormat="1" ht="19.5" customHeight="1">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89" customFormat="1" ht="19.5" customHeight="1">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89" customFormat="1" ht="19.5" customHeight="1">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89" customFormat="1" ht="19.5" customHeight="1">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c r="A10" s="270" t="str">
        <f>HLOOKUP($A$4,'Auto Responses'!$F$2:$F$8,7,0)&amp;""</f>
        <v>For full instructions, please visit EDUCAUSE.edu/HECVAT</v>
      </c>
      <c r="B10" s="68"/>
      <c r="C10" s="68"/>
      <c r="D10" s="68"/>
      <c r="E10" s="68"/>
      <c r="F10" s="68"/>
      <c r="G10" s="68"/>
      <c r="H10" s="68"/>
      <c r="I10" s="68"/>
      <c r="J10" s="68"/>
    </row>
    <row r="11" spans="1:10" s="96" customFormat="1" ht="25.5" customHeight="1">
      <c r="A11" s="163" t="str">
        <f>'START HERE'!$B$13</f>
        <v>Solution Provider Name</v>
      </c>
      <c r="B11" s="149"/>
      <c r="C11" s="143" t="str">
        <f>VLOOKUP($A11,'START HERE'!$B$13:$C$21,2,0)&amp;""</f>
        <v>America's Software Corporation</v>
      </c>
      <c r="D11" s="144"/>
      <c r="E11" s="145"/>
      <c r="F11" s="97"/>
      <c r="G11" s="97"/>
      <c r="H11" s="102"/>
      <c r="I11" s="97"/>
      <c r="J11" s="97"/>
    </row>
    <row r="12" spans="1:10" s="96" customFormat="1" ht="25.5" customHeight="1">
      <c r="A12" s="164" t="str">
        <f>'START HERE'!$B$16</f>
        <v>Solution Provider Contact Name</v>
      </c>
      <c r="B12" s="150"/>
      <c r="C12" s="142" t="str">
        <f>VLOOKUP($A12,'START HERE'!$B$13:$C$21,2,0)&amp;""</f>
        <v>Connie Harper</v>
      </c>
      <c r="D12" s="104"/>
      <c r="E12" s="146"/>
      <c r="F12" s="97"/>
      <c r="G12" s="97"/>
      <c r="H12" s="102"/>
      <c r="I12" s="97"/>
      <c r="J12" s="97"/>
    </row>
    <row r="13" spans="1:10" s="96" customFormat="1" ht="25.5" customHeight="1">
      <c r="A13" s="164" t="str">
        <f>'START HERE'!$B$17</f>
        <v>Solution Provider Contact Title</v>
      </c>
      <c r="B13" s="150"/>
      <c r="C13" s="142" t="str">
        <f>VLOOKUP($A13,'START HERE'!$B$13:$C$21,2,0)&amp;""</f>
        <v>President</v>
      </c>
      <c r="D13" s="104"/>
      <c r="E13" s="146"/>
      <c r="F13" s="97"/>
      <c r="G13" s="97"/>
      <c r="H13" s="102"/>
      <c r="I13" s="97"/>
      <c r="J13" s="97"/>
    </row>
    <row r="14" spans="1:10" s="96" customFormat="1" ht="25.5" customHeight="1">
      <c r="A14" s="164" t="str">
        <f>'START HERE'!$B$18</f>
        <v>Solution Provider Contact Email</v>
      </c>
      <c r="B14" s="150"/>
      <c r="C14" s="142" t="str">
        <f>VLOOKUP($A14,'START HERE'!$B$13:$C$21,2,0)&amp;""</f>
        <v>taleval@icloud.com</v>
      </c>
      <c r="D14" s="104"/>
      <c r="E14" s="146"/>
      <c r="F14" s="140"/>
      <c r="G14" s="141"/>
      <c r="H14" s="141"/>
      <c r="I14" s="141"/>
      <c r="J14" s="141"/>
    </row>
    <row r="15" spans="1:10" s="96" customFormat="1" ht="25.5" customHeight="1">
      <c r="A15" s="164" t="str">
        <f>'START HERE'!$B$14</f>
        <v>Solution Name</v>
      </c>
      <c r="B15" s="150"/>
      <c r="C15" s="142" t="str">
        <f>VLOOKUP($A15,'START HERE'!$B$13:$C$21,2,0)&amp;""</f>
        <v>TalEval, Discovery Pro</v>
      </c>
      <c r="D15" s="104"/>
      <c r="E15" s="146"/>
      <c r="F15" s="140"/>
      <c r="G15" s="141"/>
      <c r="H15" s="141"/>
      <c r="I15" s="141"/>
      <c r="J15" s="141"/>
    </row>
    <row r="16" spans="1:10" s="96" customFormat="1" ht="25.5" customHeight="1">
      <c r="A16" s="164" t="str">
        <f>'START HERE'!$B$15</f>
        <v>Solution Description</v>
      </c>
      <c r="B16" s="150"/>
      <c r="C16" s="142" t="str">
        <f>VLOOKUP($A16,'START HERE'!$B$13:$C$21,2,0)&amp;""</f>
        <v>Dental Hygiene/COS Student  Tracking</v>
      </c>
      <c r="D16" s="104"/>
      <c r="E16" s="146"/>
      <c r="F16" s="140"/>
      <c r="G16" s="141"/>
      <c r="H16" s="141"/>
      <c r="I16" s="141"/>
      <c r="J16" s="141"/>
    </row>
    <row r="17" spans="1:11" s="96" customFormat="1" ht="25.5" customHeight="1" thickBot="1">
      <c r="A17" s="165" t="s">
        <v>1004</v>
      </c>
      <c r="B17" s="151"/>
      <c r="C17" s="361">
        <v>46216</v>
      </c>
      <c r="D17" s="147"/>
      <c r="E17" s="148"/>
      <c r="F17" s="140"/>
      <c r="G17" s="141"/>
      <c r="H17" s="141"/>
      <c r="I17" s="141"/>
      <c r="J17" s="141"/>
    </row>
    <row r="18" spans="1:11" s="96" customFormat="1" ht="24.75" customHeight="1">
      <c r="A18" s="97"/>
      <c r="B18" s="97"/>
      <c r="C18" s="277"/>
      <c r="D18" s="103"/>
      <c r="E18" s="97"/>
      <c r="F18" s="97"/>
      <c r="G18" s="97"/>
      <c r="H18" s="98"/>
      <c r="I18" s="98"/>
      <c r="J18" s="98"/>
    </row>
    <row r="19" spans="1:11" s="94" customFormat="1" ht="24" customHeight="1" thickBot="1">
      <c r="A19" s="374"/>
      <c r="B19" s="374"/>
      <c r="C19" s="374"/>
      <c r="D19" s="95"/>
    </row>
    <row r="20" spans="1:11" ht="30" customHeight="1" thickBot="1">
      <c r="A20" s="290" t="s">
        <v>1596</v>
      </c>
      <c r="B20" s="90" t="s">
        <v>1003</v>
      </c>
      <c r="C20" s="117" t="s">
        <v>1597</v>
      </c>
      <c r="D20" s="89" t="s">
        <v>1598</v>
      </c>
      <c r="E20" s="116" t="s">
        <v>1002</v>
      </c>
      <c r="F20" s="116" t="s">
        <v>1001</v>
      </c>
      <c r="G20" s="132" t="s">
        <v>1023</v>
      </c>
      <c r="H20" s="133"/>
      <c r="I20" s="134"/>
    </row>
    <row r="21" spans="1:11" s="91" customFormat="1" ht="40.5" customHeight="1">
      <c r="B21" s="92" t="str">
        <f>VLOOKUP($K21,'Auto Responses'!$N$4:$O$38,2,0)&amp;""</f>
        <v xml:space="preserve"> General Privacy</v>
      </c>
      <c r="C21" s="124" t="b">
        <v>1</v>
      </c>
      <c r="D21" s="118">
        <f>IF($C21=TRUE,SUMIF('(backend scoring)'!$B$3:$B$333,$K21,'(backend scoring)'!$O$3:$O$333),"")</f>
        <v>0</v>
      </c>
      <c r="E21" s="125">
        <f>IF($C21=TRUE,SUMIF('(backend scoring)'!$B$3:$B$333,$K21,'(backend scoring)'!$P$3:$P$333),"")</f>
        <v>0</v>
      </c>
      <c r="F21" s="153" t="str">
        <f>IFERROR($E21/$D21,"N/A")</f>
        <v>N/A</v>
      </c>
      <c r="G21" s="229" t="str">
        <f>"Jump to "&amp;B21</f>
        <v>Jump to  General Privacy</v>
      </c>
      <c r="H21" s="127"/>
      <c r="I21" s="129"/>
      <c r="K21" s="91" t="s">
        <v>963</v>
      </c>
    </row>
    <row r="22" spans="1:11" s="91" customFormat="1" ht="40.5" customHeight="1">
      <c r="B22" s="92" t="str">
        <f>VLOOKUP($K22,'Auto Responses'!$N$4:$O$38,2,0)&amp;""</f>
        <v xml:space="preserve"> Privacy-Specific Company Details</v>
      </c>
      <c r="C22" s="124" t="b">
        <v>1</v>
      </c>
      <c r="D22" s="118">
        <f>IF($C22=TRUE,SUMIF('(backend scoring)'!$B$3:$B$333,$K22,'(backend scoring)'!$O$3:$O$333),"")</f>
        <v>30</v>
      </c>
      <c r="E22" s="125">
        <f>IF($C22=TRUE,SUMIF('(backend scoring)'!$B$3:$B$333,$K22,'(backend scoring)'!$P$3:$P$333),"")</f>
        <v>25</v>
      </c>
      <c r="F22" s="152">
        <f t="shared" ref="F22:F30" si="0">IFERROR($E22/$D22,"N/A")</f>
        <v>0.83333333333333337</v>
      </c>
      <c r="G22" s="230" t="str">
        <f t="shared" ref="G22:G30" si="1">"Jump to "&amp;B22</f>
        <v>Jump to  Privacy-Specific Company Details</v>
      </c>
      <c r="H22" s="126"/>
      <c r="I22" s="130"/>
      <c r="K22" s="91" t="s">
        <v>965</v>
      </c>
    </row>
    <row r="23" spans="1:11" s="91" customFormat="1" ht="40.5" customHeight="1">
      <c r="B23" s="92" t="str">
        <f>VLOOKUP($K23,'Auto Responses'!$N$4:$O$38,2,0)&amp;""</f>
        <v xml:space="preserve"> Privacy-Specific Documentation</v>
      </c>
      <c r="C23" s="124" t="b">
        <v>1</v>
      </c>
      <c r="D23" s="118">
        <f>IF($C23=TRUE,SUMIF('(backend scoring)'!$B$3:$B$333,$K23,'(backend scoring)'!$O$3:$O$333),"")</f>
        <v>20</v>
      </c>
      <c r="E23" s="125">
        <f>IF($C23=TRUE,SUMIF('(backend scoring)'!$B$3:$B$333,$K23,'(backend scoring)'!$P$3:$P$333),"")</f>
        <v>10</v>
      </c>
      <c r="F23" s="152">
        <f t="shared" si="0"/>
        <v>0.5</v>
      </c>
      <c r="G23" s="230" t="str">
        <f t="shared" si="1"/>
        <v>Jump to  Privacy-Specific Documentation</v>
      </c>
      <c r="H23" s="126"/>
      <c r="I23" s="130"/>
      <c r="K23" s="91" t="s">
        <v>967</v>
      </c>
    </row>
    <row r="24" spans="1:11" s="91" customFormat="1" ht="40.5" customHeight="1">
      <c r="B24" s="92" t="str">
        <f>VLOOKUP($K24,'Auto Responses'!$N$4:$O$38,2,0)&amp;""</f>
        <v xml:space="preserve"> Privacy of Third Parties</v>
      </c>
      <c r="C24" s="124" t="b">
        <v>1</v>
      </c>
      <c r="D24" s="118">
        <f>IF($C24=TRUE,SUMIF('(backend scoring)'!$B$3:$B$333,$K24,'(backend scoring)'!$O$3:$O$333),"")</f>
        <v>25</v>
      </c>
      <c r="E24" s="125">
        <f>IF($C24=TRUE,SUMIF('(backend scoring)'!$B$3:$B$333,$K24,'(backend scoring)'!$P$3:$P$333),"")</f>
        <v>20</v>
      </c>
      <c r="F24" s="152">
        <f t="shared" si="0"/>
        <v>0.8</v>
      </c>
      <c r="G24" s="230" t="str">
        <f t="shared" si="1"/>
        <v>Jump to  Privacy of Third Parties</v>
      </c>
      <c r="H24" s="126"/>
      <c r="I24" s="130"/>
      <c r="K24" s="91" t="s">
        <v>968</v>
      </c>
    </row>
    <row r="25" spans="1:11" s="91" customFormat="1" ht="40.5" customHeight="1">
      <c r="B25" s="92" t="str">
        <f>VLOOKUP($K25,'Auto Responses'!$N$4:$O$38,2,0)&amp;""</f>
        <v xml:space="preserve"> Privacy Change Management</v>
      </c>
      <c r="C25" s="124" t="b">
        <v>1</v>
      </c>
      <c r="D25" s="118">
        <f>IF($C25=TRUE,SUMIF('(backend scoring)'!$B$3:$B$333,$K25,'(backend scoring)'!$O$3:$O$333),"")</f>
        <v>15</v>
      </c>
      <c r="E25" s="125">
        <f>IF($C25=TRUE,SUMIF('(backend scoring)'!$B$3:$B$333,$K25,'(backend scoring)'!$P$3:$P$333),"")</f>
        <v>10</v>
      </c>
      <c r="F25" s="152">
        <f t="shared" si="0"/>
        <v>0.66666666666666663</v>
      </c>
      <c r="G25" s="230" t="str">
        <f t="shared" si="1"/>
        <v>Jump to  Privacy Change Management</v>
      </c>
      <c r="H25" s="126"/>
      <c r="I25" s="130"/>
      <c r="K25" s="91" t="s">
        <v>970</v>
      </c>
    </row>
    <row r="26" spans="1:11" s="91" customFormat="1" ht="40.5" customHeight="1">
      <c r="B26" s="92" t="str">
        <f>VLOOKUP($K26,'Auto Responses'!$N$4:$O$38,2,0)&amp;""</f>
        <v xml:space="preserve"> Privacy of Sensitive Data</v>
      </c>
      <c r="C26" s="124" t="b">
        <v>1</v>
      </c>
      <c r="D26" s="118">
        <f>IF($C26=TRUE,SUMIF('(backend scoring)'!$B$3:$B$333,$K26,'(backend scoring)'!$O$3:$O$333),"")</f>
        <v>85</v>
      </c>
      <c r="E26" s="125">
        <f>IF($C26=TRUE,SUMIF('(backend scoring)'!$B$3:$B$333,$K26,'(backend scoring)'!$P$3:$P$333),"")</f>
        <v>85</v>
      </c>
      <c r="F26" s="152">
        <f t="shared" si="0"/>
        <v>1</v>
      </c>
      <c r="G26" s="230" t="str">
        <f t="shared" si="1"/>
        <v>Jump to  Privacy of Sensitive Data</v>
      </c>
      <c r="H26" s="126"/>
      <c r="I26" s="130"/>
      <c r="K26" s="91" t="s">
        <v>972</v>
      </c>
    </row>
    <row r="27" spans="1:11" s="91" customFormat="1" ht="40.5" customHeight="1">
      <c r="B27" s="92" t="str">
        <f>VLOOKUP($K27,'Auto Responses'!$N$4:$O$38,2,0)&amp;""</f>
        <v xml:space="preserve"> Privacy Policies and Procedures</v>
      </c>
      <c r="C27" s="124" t="b">
        <v>1</v>
      </c>
      <c r="D27" s="118">
        <f>IF($C27=TRUE,SUMIF('(backend scoring)'!$B$3:$B$333,$K27,'(backend scoring)'!$O$3:$O$333),"")</f>
        <v>100</v>
      </c>
      <c r="E27" s="125">
        <f>IF($C27=TRUE,SUMIF('(backend scoring)'!$B$3:$B$333,$K27,'(backend scoring)'!$P$3:$P$333),"")</f>
        <v>75</v>
      </c>
      <c r="F27" s="152">
        <f t="shared" si="0"/>
        <v>0.75</v>
      </c>
      <c r="G27" s="230" t="str">
        <f t="shared" si="1"/>
        <v>Jump to  Privacy Policies and Procedures</v>
      </c>
      <c r="H27" s="126"/>
      <c r="I27" s="130"/>
      <c r="K27" s="91" t="s">
        <v>974</v>
      </c>
    </row>
    <row r="28" spans="1:11" s="91" customFormat="1" ht="40.5" customHeight="1">
      <c r="B28" s="92" t="str">
        <f>VLOOKUP($K28,'Auto Responses'!$N$4:$O$38,2,0)&amp;""</f>
        <v xml:space="preserve"> International Privacy</v>
      </c>
      <c r="C28" s="124" t="b">
        <v>1</v>
      </c>
      <c r="D28" s="118">
        <f>IF($C28=TRUE,SUMIF('(backend scoring)'!$B$3:$B$333,$K28,'(backend scoring)'!$O$3:$O$333),"")</f>
        <v>50</v>
      </c>
      <c r="E28" s="125">
        <f>IF($C28=TRUE,SUMIF('(backend scoring)'!$B$3:$B$333,$K28,'(backend scoring)'!$P$3:$P$333),"")</f>
        <v>20</v>
      </c>
      <c r="F28" s="152">
        <f t="shared" si="0"/>
        <v>0.4</v>
      </c>
      <c r="G28" s="230" t="str">
        <f t="shared" si="1"/>
        <v>Jump to  International Privacy</v>
      </c>
      <c r="H28" s="126"/>
      <c r="I28" s="130"/>
      <c r="K28" s="91" t="s">
        <v>976</v>
      </c>
    </row>
    <row r="29" spans="1:11" s="91" customFormat="1" ht="40.5" customHeight="1">
      <c r="B29" s="92" t="str">
        <f>VLOOKUP($K29,'Auto Responses'!$N$4:$O$38,2,0)&amp;""</f>
        <v xml:space="preserve"> Data Privacy</v>
      </c>
      <c r="C29" s="124" t="b">
        <v>1</v>
      </c>
      <c r="D29" s="118">
        <f>IF($C29=TRUE,SUMIF('(backend scoring)'!$B$3:$B$333,$K29,'(backend scoring)'!$O$3:$O$333),"")</f>
        <v>150</v>
      </c>
      <c r="E29" s="125">
        <f>IF($C29=TRUE,SUMIF('(backend scoring)'!$B$3:$B$333,$K29,'(backend scoring)'!$P$3:$P$333),"")</f>
        <v>140</v>
      </c>
      <c r="F29" s="152">
        <f t="shared" si="0"/>
        <v>0.93333333333333335</v>
      </c>
      <c r="G29" s="230" t="str">
        <f t="shared" si="1"/>
        <v>Jump to  Data Privacy</v>
      </c>
      <c r="H29" s="126"/>
      <c r="I29" s="130"/>
      <c r="K29" s="91" t="s">
        <v>1113</v>
      </c>
    </row>
    <row r="30" spans="1:11" s="91" customFormat="1" ht="40.5" customHeight="1" thickBot="1">
      <c r="B30" s="92" t="str">
        <f>VLOOKUP($K30,'Auto Responses'!$N$4:$O$38,2,0)&amp;""</f>
        <v xml:space="preserve"> Privacy and AI</v>
      </c>
      <c r="C30" s="124" t="b">
        <v>1</v>
      </c>
      <c r="D30" s="118">
        <f>IF($C30=TRUE,SUMIF('(backend scoring)'!$B$3:$B$333,$K30,'(backend scoring)'!$O$3:$O$333),"")</f>
        <v>80</v>
      </c>
      <c r="E30" s="125">
        <f>IF($C30=TRUE,SUMIF('(backend scoring)'!$B$3:$B$333,$K30,'(backend scoring)'!$P$3:$P$333),"")</f>
        <v>0</v>
      </c>
      <c r="F30" s="152">
        <f t="shared" si="0"/>
        <v>0</v>
      </c>
      <c r="G30" s="230" t="str">
        <f t="shared" si="1"/>
        <v>Jump to  Privacy and AI</v>
      </c>
      <c r="H30" s="126"/>
      <c r="I30" s="130"/>
      <c r="K30" s="91" t="s">
        <v>979</v>
      </c>
    </row>
    <row r="31" spans="1:11" s="91" customFormat="1" ht="30" customHeight="1" thickBot="1">
      <c r="B31" s="90" t="s">
        <v>1024</v>
      </c>
      <c r="C31" s="117"/>
      <c r="D31" s="119">
        <f>SUM(D21:D30)</f>
        <v>555</v>
      </c>
      <c r="E31" s="119">
        <f>SUM(E21:E30)</f>
        <v>385</v>
      </c>
      <c r="F31" s="88">
        <f>IFERROR($E31/$D31,"N/A")</f>
        <v>0.69369369369369371</v>
      </c>
      <c r="G31" s="135"/>
      <c r="H31" s="136"/>
      <c r="I31" s="137"/>
      <c r="J31" s="255" t="s">
        <v>1531</v>
      </c>
    </row>
    <row r="32" spans="1:11" ht="17">
      <c r="F32" s="62" t="s">
        <v>999</v>
      </c>
    </row>
    <row r="33" spans="1:12" ht="16"/>
    <row r="34" spans="1:12" ht="15" customHeight="1"/>
    <row r="35" spans="1:12" s="187" customFormat="1" ht="36" customHeight="1">
      <c r="A35" s="182" t="s">
        <v>1565</v>
      </c>
      <c r="B35" s="182"/>
      <c r="C35" s="186"/>
      <c r="D35" s="182"/>
      <c r="E35" s="182"/>
      <c r="F35" s="182"/>
      <c r="G35" s="182"/>
      <c r="H35" s="182"/>
      <c r="I35" s="182"/>
      <c r="J35" s="182"/>
      <c r="K35" s="182"/>
      <c r="L35" s="42"/>
    </row>
    <row r="36" spans="1:12" s="30" customFormat="1" ht="36" customHeight="1">
      <c r="A36" s="31" t="s">
        <v>906</v>
      </c>
      <c r="B36" s="31"/>
      <c r="C36" s="76"/>
      <c r="D36" s="31"/>
      <c r="E36" s="31"/>
      <c r="F36" s="31"/>
      <c r="G36" s="31"/>
      <c r="H36" s="31"/>
      <c r="I36" s="31"/>
      <c r="J36" s="31"/>
      <c r="K36" s="31"/>
      <c r="L36" s="1"/>
    </row>
    <row r="37" spans="1:12" s="1" customFormat="1" ht="36" customHeight="1">
      <c r="A37" s="17" t="s">
        <v>922</v>
      </c>
      <c r="B37" s="18"/>
      <c r="C37" s="19"/>
      <c r="D37" s="20"/>
      <c r="E37" s="20"/>
      <c r="F37" s="21"/>
      <c r="G37" s="21"/>
      <c r="H37" s="21"/>
      <c r="I37" s="21"/>
      <c r="J37" s="21"/>
      <c r="K37" s="21"/>
    </row>
    <row r="38" spans="1:12" s="1" customFormat="1" ht="19.5" customHeight="1">
      <c r="A38" s="269" t="str">
        <f>HLOOKUP($A$4,'Auto Responses'!$F$2:$F$7,2,0)&amp;""</f>
        <v>1. Upon initial review, you can check the "Non-Negotiable" box by any question to compile a report of questions that may prohibit a full review.</v>
      </c>
      <c r="B38" s="269"/>
      <c r="C38" s="269"/>
      <c r="D38" s="269"/>
      <c r="E38" s="269"/>
      <c r="F38" s="269"/>
      <c r="G38" s="269"/>
      <c r="H38" s="269"/>
      <c r="I38" s="269"/>
      <c r="J38" s="269"/>
      <c r="K38" s="22"/>
    </row>
    <row r="39" spans="1:12" s="1" customFormat="1" ht="19.5" customHeight="1">
      <c r="A39" s="269" t="str">
        <f>HLOOKUP($A$4,'Auto Responses'!$F$2:$F$7,3,0)&amp;""</f>
        <v>2. When evaluating an answer, a default importance level has been set. You can use the "Importance Override" dropdown to override the default and adjust the value of the question.</v>
      </c>
      <c r="B39" s="269"/>
      <c r="C39" s="269"/>
      <c r="D39" s="269"/>
      <c r="E39" s="269"/>
      <c r="F39" s="269"/>
      <c r="G39" s="269"/>
      <c r="H39" s="269"/>
      <c r="I39" s="269"/>
      <c r="J39" s="269"/>
      <c r="K39" s="22"/>
    </row>
    <row r="40" spans="1:12" s="1" customFormat="1" ht="19.5" customHeight="1">
      <c r="A40" s="269" t="str">
        <f>HLOOKUP($A$4,'Auto Responses'!$F$2:$F$7,4,0)&amp;""</f>
        <v>3. For questions that are qualitative or for which you disagree with the preferred response, make a selection in the "Compliant Override" dropdown to adjust the question's impact on the score.</v>
      </c>
      <c r="B40" s="269"/>
      <c r="C40" s="269"/>
      <c r="D40" s="269"/>
      <c r="E40" s="269"/>
      <c r="F40" s="269"/>
      <c r="G40" s="269"/>
      <c r="H40" s="269"/>
      <c r="I40" s="269"/>
      <c r="J40" s="269"/>
      <c r="K40" s="22"/>
    </row>
    <row r="41" spans="1:12" s="1" customFormat="1" ht="19.5" customHeight="1">
      <c r="A41" s="269" t="str">
        <f>HLOOKUP($A$4,'Auto Responses'!$F$2:$F$7,5,0)&amp;""</f>
        <v xml:space="preserve">4. Each worksheet shows a report for that section. See the "Analyst Report" sheet for a full report of all sections. </v>
      </c>
      <c r="B41" s="269"/>
      <c r="C41" s="269"/>
      <c r="D41" s="269"/>
      <c r="E41" s="269"/>
      <c r="F41" s="269"/>
      <c r="G41" s="269"/>
      <c r="H41" s="269"/>
      <c r="I41" s="269"/>
      <c r="J41" s="269"/>
      <c r="K41" s="22"/>
    </row>
    <row r="42" spans="1:12" s="1" customFormat="1" ht="19.5" customHeight="1">
      <c r="A42" s="269" t="str">
        <f>HLOOKUP($A$4,'Auto Responses'!$F$2:$F$7,6,0)&amp;""</f>
        <v xml:space="preserve">5. If you are evaluating a question that appears in an earlier section, the Importance and Compliant Override cannot be changed but additional notes can be added. </v>
      </c>
      <c r="B42" s="269"/>
      <c r="C42" s="269"/>
      <c r="D42" s="269"/>
      <c r="E42" s="269"/>
      <c r="F42" s="269"/>
      <c r="G42" s="269"/>
      <c r="H42" s="269"/>
      <c r="I42" s="269"/>
      <c r="J42" s="269"/>
      <c r="K42" s="22"/>
    </row>
    <row r="43" spans="1:12" s="1" customFormat="1" ht="19.5" customHeight="1" thickBot="1">
      <c r="A43" s="269" t="str">
        <f>HLOOKUP($A$4,'Auto Responses'!$F$2:$F$8,7,0)&amp;""</f>
        <v>For full instructions, please visit EDUCAUSE.edu/HECVAT</v>
      </c>
      <c r="B43" s="68"/>
      <c r="C43" s="68"/>
      <c r="D43" s="68"/>
      <c r="E43" s="68"/>
      <c r="F43" s="68"/>
      <c r="G43" s="68"/>
      <c r="H43" s="68"/>
      <c r="I43" s="68"/>
      <c r="J43" s="68"/>
      <c r="K43" s="22"/>
    </row>
    <row r="44" spans="1:12" s="30" customFormat="1" ht="41.25" customHeight="1" thickBot="1">
      <c r="A44" s="32"/>
      <c r="B44" s="32"/>
      <c r="C44" s="77"/>
      <c r="D44" s="32"/>
      <c r="E44" s="32"/>
      <c r="F44" s="194" t="s">
        <v>905</v>
      </c>
      <c r="G44" s="189" t="s">
        <v>1093</v>
      </c>
      <c r="H44" s="190"/>
      <c r="I44" s="190"/>
      <c r="J44" s="190"/>
      <c r="K44" s="191"/>
      <c r="L44" s="1"/>
    </row>
    <row r="45" spans="1:12" s="36" customFormat="1" ht="48" customHeight="1" thickBot="1">
      <c r="A45" s="33" t="s">
        <v>907</v>
      </c>
      <c r="B45" s="34" t="s">
        <v>1</v>
      </c>
      <c r="C45" s="34" t="s">
        <v>908</v>
      </c>
      <c r="D45" s="35" t="s">
        <v>72</v>
      </c>
      <c r="E45" s="327" t="s">
        <v>904</v>
      </c>
      <c r="F45" s="198" t="s">
        <v>1550</v>
      </c>
      <c r="G45" s="53" t="s">
        <v>925</v>
      </c>
      <c r="H45" s="50" t="s">
        <v>927</v>
      </c>
      <c r="I45" s="50" t="s">
        <v>19</v>
      </c>
      <c r="J45" s="51" t="s">
        <v>912</v>
      </c>
      <c r="K45" s="54" t="s">
        <v>923</v>
      </c>
      <c r="L45" s="1"/>
    </row>
    <row r="46" spans="1:12" s="1" customFormat="1" ht="37.25" customHeight="1">
      <c r="A46" s="70" t="str">
        <f>VLOOKUP(LEFT($A47,4),'Auto Responses'!$N$4:$O$38,2,0)&amp;""</f>
        <v xml:space="preserve"> General Privacy</v>
      </c>
      <c r="B46" s="29"/>
      <c r="C46" s="38"/>
      <c r="D46" s="38"/>
      <c r="E46" s="38"/>
      <c r="F46" s="139" t="s">
        <v>1089</v>
      </c>
      <c r="G46" s="358" t="s">
        <v>925</v>
      </c>
      <c r="H46" s="358" t="s">
        <v>927</v>
      </c>
      <c r="I46" s="358" t="s">
        <v>19</v>
      </c>
      <c r="J46" s="358" t="s">
        <v>912</v>
      </c>
      <c r="K46" s="38"/>
    </row>
    <row r="47" spans="1:12" s="36" customFormat="1" ht="48" customHeight="1">
      <c r="A47" s="25" t="s">
        <v>913</v>
      </c>
      <c r="B47" s="24" t="str">
        <f>VLOOKUP($A47,Questions!$A$2:$X$333,2,0)</f>
        <v>Does your solution process FERPA-related data?</v>
      </c>
      <c r="C47" s="52" t="str">
        <f>VLOOKUP($A47,Privacy!$A$13:$E$97,3,0)&amp;""</f>
        <v>yes</v>
      </c>
      <c r="D47" s="41" t="str">
        <f>IF(LEFT(VLOOKUP($A47,Privacy!$A$13:$E$97,5,0),21)='Auto Responses'!$A$73,'Auto Responses'!$A$74,VLOOKUP($A47,Privacy!$A$13:$E$97,4,0))&amp;""</f>
        <v/>
      </c>
      <c r="E47" s="352" t="str">
        <f>VLOOKUP($A47,Privacy!$A$13:$E$97,5,0)&amp;""</f>
        <v/>
      </c>
      <c r="F47" s="195"/>
      <c r="G47" s="37" t="str">
        <f>VLOOKUP($A47,Questions!$A$2:$X$333,21,0)&amp;""</f>
        <v>Not scored</v>
      </c>
      <c r="H47" s="192"/>
      <c r="I47" s="52" t="str">
        <f>VLOOKUP($A47,Questions!$A$2:$X$333,23,0)&amp;""</f>
        <v/>
      </c>
      <c r="J47" s="192"/>
      <c r="K47" s="55" t="b">
        <v>0</v>
      </c>
      <c r="L47" s="1"/>
    </row>
    <row r="48" spans="1:12" s="36" customFormat="1" ht="48" customHeight="1">
      <c r="A48" s="25" t="s">
        <v>914</v>
      </c>
      <c r="B48" s="24" t="str">
        <f>VLOOKUP($A48,Questions!$A$2:$X$333,2,0)</f>
        <v>Does your solution process GDPR-related or PIPL-related data?</v>
      </c>
      <c r="C48" s="52" t="str">
        <f>VLOOKUP($A48,Privacy!$A$13:$E$97,3,0)&amp;""</f>
        <v>no</v>
      </c>
      <c r="D48" s="41" t="str">
        <f>IF(LEFT(VLOOKUP($A48,Privacy!$A$13:$E$97,5,0),21)='Auto Responses'!$A$73,'Auto Responses'!$A$74,VLOOKUP($A48,Privacy!$A$13:$E$97,4,0))&amp;""</f>
        <v/>
      </c>
      <c r="E48" s="352" t="str">
        <f>VLOOKUP($A48,Privacy!$A$13:$E$97,5,0)&amp;""</f>
        <v/>
      </c>
      <c r="F48" s="195"/>
      <c r="G48" s="37" t="str">
        <f>VLOOKUP($A48,Questions!$A$2:$X$333,21,0)&amp;""</f>
        <v>Not scored</v>
      </c>
      <c r="H48" s="192"/>
      <c r="I48" s="52" t="str">
        <f>VLOOKUP($A48,Questions!$A$2:$X$333,23,0)&amp;""</f>
        <v/>
      </c>
      <c r="J48" s="192"/>
      <c r="K48" s="55" t="b">
        <v>0</v>
      </c>
      <c r="L48" s="1"/>
    </row>
    <row r="49" spans="1:12" s="36" customFormat="1" ht="48" customHeight="1">
      <c r="A49" s="25" t="s">
        <v>915</v>
      </c>
      <c r="B49" s="24" t="str">
        <f>VLOOKUP($A49,Questions!$A$2:$X$333,2,0)</f>
        <v>Does your solution process personal data regulated by state law(s) (e.g., CCPA)?</v>
      </c>
      <c r="C49" s="52" t="str">
        <f>VLOOKUP($A49,Privacy!$A$13:$E$97,3,0)&amp;""</f>
        <v>No</v>
      </c>
      <c r="D49" s="41" t="str">
        <f>IF(LEFT(VLOOKUP($A49,Privacy!$A$13:$E$97,5,0),21)='Auto Responses'!$A$73,'Auto Responses'!$A$74,VLOOKUP($A49,Privacy!$A$13:$E$97,4,0))&amp;""</f>
        <v/>
      </c>
      <c r="E49" s="352" t="str">
        <f>VLOOKUP($A49,Privacy!$A$13:$E$97,5,0)&amp;""</f>
        <v/>
      </c>
      <c r="F49" s="195"/>
      <c r="G49" s="37" t="str">
        <f>VLOOKUP($A49,Questions!$A$2:$X$333,21,0)&amp;""</f>
        <v>Not scored</v>
      </c>
      <c r="H49" s="192"/>
      <c r="I49" s="52" t="str">
        <f>VLOOKUP($A49,Questions!$A$2:$X$333,23,0)&amp;""</f>
        <v/>
      </c>
      <c r="J49" s="192"/>
      <c r="K49" s="55" t="b">
        <v>0</v>
      </c>
      <c r="L49" s="1"/>
    </row>
    <row r="50" spans="1:12" s="36" customFormat="1" ht="48" customHeight="1">
      <c r="A50" s="25" t="s">
        <v>916</v>
      </c>
      <c r="B50" s="24" t="str">
        <f>VLOOKUP($A50,Questions!$A$2:$X$333,2,0)</f>
        <v>Does your solution process user-provided data that may contain regulated information?</v>
      </c>
      <c r="C50" s="52" t="str">
        <f>VLOOKUP($A50,Privacy!$A$13:$E$97,3,0)&amp;""</f>
        <v>No</v>
      </c>
      <c r="D50" s="41" t="str">
        <f>IF(LEFT(VLOOKUP($A50,Privacy!$A$13:$E$97,5,0),21)='Auto Responses'!$A$73,'Auto Responses'!$A$74,VLOOKUP($A50,Privacy!$A$13:$E$97,4,0))&amp;""</f>
        <v/>
      </c>
      <c r="E50" s="352" t="str">
        <f>VLOOKUP($A50,Privacy!$A$13:$E$97,5,0)&amp;""</f>
        <v/>
      </c>
      <c r="F50" s="195"/>
      <c r="G50" s="37" t="str">
        <f>VLOOKUP($A50,Questions!$A$2:$X$333,21,0)&amp;""</f>
        <v>Not scored</v>
      </c>
      <c r="H50" s="192"/>
      <c r="I50" s="52" t="str">
        <f>VLOOKUP($A50,Questions!$A$2:$X$333,23,0)&amp;""</f>
        <v/>
      </c>
      <c r="J50" s="192"/>
      <c r="K50" s="55" t="b">
        <v>0</v>
      </c>
      <c r="L50" s="1"/>
    </row>
    <row r="51" spans="1:12" s="36" customFormat="1" ht="48" customHeight="1">
      <c r="A51" s="25" t="s">
        <v>917</v>
      </c>
      <c r="B51" s="24" t="str">
        <f>VLOOKUP($A51,Questions!$A$2:$X$333,2,0)</f>
        <v>Web Link to Product/Service Privacy Notice</v>
      </c>
      <c r="C51" s="324" t="str">
        <f>VLOOKUP($A51,Privacy!$A$13:$E$97,3,0)&amp;""</f>
        <v/>
      </c>
      <c r="D51" s="325" t="str">
        <f>IF(LEFT(VLOOKUP($A51,Privacy!$A$13:$E$97,5,0),21)='Auto Responses'!$A$73,'Auto Responses'!$A$74,VLOOKUP($A51,Privacy!$A$13:$E$97,4,0))&amp;""</f>
        <v/>
      </c>
      <c r="E51" s="352" t="str">
        <f>VLOOKUP($A51,Privacy!$A$13:$E$97,5,0)&amp;""</f>
        <v/>
      </c>
      <c r="F51" s="195"/>
      <c r="G51" s="37" t="str">
        <f>VLOOKUP($A51,Questions!$A$2:$X$333,21,0)&amp;""</f>
        <v>Not scored</v>
      </c>
      <c r="H51" s="192"/>
      <c r="I51" s="52" t="str">
        <f>VLOOKUP($A51,Questions!$A$2:$X$333,23,0)&amp;""</f>
        <v>Standard Importance</v>
      </c>
      <c r="J51" s="192"/>
      <c r="K51" s="55" t="b">
        <v>0</v>
      </c>
      <c r="L51" s="1"/>
    </row>
    <row r="52" spans="1:12" s="1" customFormat="1" ht="37.25" customHeight="1">
      <c r="A52" s="70" t="str">
        <f>VLOOKUP(LEFT($A53,4),'Auto Responses'!$N$4:$O$38,2,0)&amp;""</f>
        <v xml:space="preserve"> Privacy-Specific Company Details</v>
      </c>
      <c r="B52" s="29"/>
      <c r="C52" s="38"/>
      <c r="D52" s="38"/>
      <c r="E52" s="351"/>
      <c r="F52" s="139" t="s">
        <v>1089</v>
      </c>
      <c r="G52" s="358" t="s">
        <v>925</v>
      </c>
      <c r="H52" s="358" t="s">
        <v>927</v>
      </c>
      <c r="I52" s="358" t="s">
        <v>19</v>
      </c>
      <c r="J52" s="358" t="s">
        <v>912</v>
      </c>
      <c r="K52" s="38"/>
    </row>
    <row r="53" spans="1:12" s="36" customFormat="1" ht="79.5" customHeight="1">
      <c r="A53" s="25" t="s">
        <v>714</v>
      </c>
      <c r="B53" s="24" t="str">
        <f>VLOOKUP($A53,Questions!$A$2:$X$333,2,0)</f>
        <v>Have you had a personal data breach in the past three years that involved reporting to a governmental agency, notice to individuals (including voluntary notice), or notice to another organization or institution?*</v>
      </c>
      <c r="C53" s="52" t="str">
        <f>VLOOKUP($A53,Privacy!$A$13:$E$97,3,0)&amp;""</f>
        <v>No</v>
      </c>
      <c r="D53" s="41" t="str">
        <f>IF(LEFT(VLOOKUP($A53,Privacy!$A$13:$E$97,5,0),21)='Auto Responses'!$A$73,'Auto Responses'!$A$74,VLOOKUP($A53,Privacy!$A$13:$E$97,4,0))&amp;""</f>
        <v/>
      </c>
      <c r="E53" s="350" t="str">
        <f>VLOOKUP($A53,Privacy!$A$13:$E$97,5,0)&amp;""</f>
        <v/>
      </c>
      <c r="F53" s="195"/>
      <c r="G53" s="37" t="str">
        <f>VLOOKUP($A53,Questions!$A$2:$X$333,21,0)&amp;""</f>
        <v>No</v>
      </c>
      <c r="H53" s="192"/>
      <c r="I53" s="52" t="str">
        <f>VLOOKUP($A53,Questions!$A$2:$X$333,23,0)&amp;""</f>
        <v>Critical Importance</v>
      </c>
      <c r="J53" s="192"/>
      <c r="K53" s="55" t="b">
        <v>0</v>
      </c>
      <c r="L53" s="1"/>
    </row>
    <row r="54" spans="1:12" s="36" customFormat="1" ht="48" customHeight="1">
      <c r="A54" s="25" t="s">
        <v>717</v>
      </c>
      <c r="B54" s="24" t="str">
        <f>VLOOKUP($A54,Questions!$A$2:$X$333,2,0)</f>
        <v>Use this area to share information about your privacy practices that will assist those who are assessing your company data privacy program.*</v>
      </c>
      <c r="C54" s="324" t="s">
        <v>1652</v>
      </c>
      <c r="D54" s="325" t="str">
        <f>IF(LEFT(VLOOKUP($A54,Privacy!$A$13:$E$97,5,0),21)='Auto Responses'!$A$73,'Auto Responses'!$A$74,VLOOKUP($A54,Privacy!$A$13:$E$97,4,0))&amp;""</f>
        <v>ASC recognizes that the student information processed in TalEval falls under the Family Educational Rights and Privacy Act (FERPA). ASC complies with FERPA by ensuring that:</v>
      </c>
      <c r="E54" s="350" t="str">
        <f>VLOOKUP($A54,Privacy!$A$13:$E$97,5,0)&amp;""</f>
        <v>Share any details that would help data privacy analysts assess your solution.</v>
      </c>
      <c r="F54" s="195"/>
      <c r="G54" s="37" t="str">
        <f>VLOOKUP($A54,Questions!$A$2:$X$333,21,0)&amp;""</f>
        <v>Not scored</v>
      </c>
      <c r="H54" s="192"/>
      <c r="I54" s="52" t="str">
        <f>VLOOKUP($A54,Questions!$A$2:$X$333,23,0)&amp;""</f>
        <v>Critical Importance</v>
      </c>
      <c r="J54" s="192"/>
      <c r="K54" s="55" t="b">
        <v>0</v>
      </c>
      <c r="L54" s="1"/>
    </row>
    <row r="55" spans="1:12" s="36" customFormat="1" ht="48" customHeight="1">
      <c r="A55" s="25" t="s">
        <v>719</v>
      </c>
      <c r="B55" s="24" t="str">
        <f>VLOOKUP($A55,Questions!$A$2:$X$333,2,0)</f>
        <v>Have you had any data privacy policy or law violations in the past 36 months?</v>
      </c>
      <c r="C55" s="52" t="str">
        <f>VLOOKUP($A55,Privacy!$A$13:$E$97,3,0)&amp;""</f>
        <v>No</v>
      </c>
      <c r="D55" s="41" t="str">
        <f>IF(LEFT(VLOOKUP($A55,Privacy!$A$13:$E$97,5,0),21)='Auto Responses'!$A$73,'Auto Responses'!$A$74,VLOOKUP($A55,Privacy!$A$13:$E$97,4,0))&amp;""</f>
        <v/>
      </c>
      <c r="E55" s="350" t="str">
        <f>VLOOKUP($A55,Privacy!$A$13:$E$97,5,0)&amp;""</f>
        <v/>
      </c>
      <c r="F55" s="195"/>
      <c r="G55" s="37" t="str">
        <f>VLOOKUP($A55,Questions!$A$2:$X$333,21,0)&amp;""</f>
        <v>No</v>
      </c>
      <c r="H55" s="192"/>
      <c r="I55" s="52" t="str">
        <f>VLOOKUP($A55,Questions!$A$2:$X$333,23,0)&amp;""</f>
        <v>Minor Importance</v>
      </c>
      <c r="J55" s="192"/>
      <c r="K55" s="55" t="b">
        <v>0</v>
      </c>
      <c r="L55" s="1"/>
    </row>
    <row r="56" spans="1:12" s="36" customFormat="1" ht="48" customHeight="1">
      <c r="A56" s="25" t="s">
        <v>722</v>
      </c>
      <c r="B56" s="24" t="str">
        <f>VLOOKUP($A56,Questions!$A$2:$X$333,2,0)</f>
        <v>Do you have a dedicated data privacy staff or office?</v>
      </c>
      <c r="C56" s="52" t="str">
        <f>VLOOKUP($A56,Privacy!$A$13:$E$97,3,0)&amp;""</f>
        <v>No</v>
      </c>
      <c r="D56" s="41" t="str">
        <f>IF(LEFT(VLOOKUP($A56,Privacy!$A$13:$E$97,5,0),21)='Auto Responses'!$A$73,'Auto Responses'!$A$74,VLOOKUP($A56,Privacy!$A$13:$E$97,4,0))&amp;""</f>
        <v/>
      </c>
      <c r="E56" s="350" t="str">
        <f>VLOOKUP($A56,Privacy!$A$13:$E$97,5,0)&amp;""</f>
        <v/>
      </c>
      <c r="F56" s="195"/>
      <c r="G56" s="37" t="str">
        <f>VLOOKUP($A56,Questions!$A$2:$X$333,21,0)&amp;""</f>
        <v>Yes</v>
      </c>
      <c r="H56" s="192"/>
      <c r="I56" s="52" t="str">
        <f>VLOOKUP($A56,Questions!$A$2:$X$333,23,0)&amp;""</f>
        <v>Minor Importance</v>
      </c>
      <c r="J56" s="192"/>
      <c r="K56" s="55" t="b">
        <v>0</v>
      </c>
      <c r="L56" s="1"/>
    </row>
    <row r="57" spans="1:12" s="1" customFormat="1" ht="37.25" customHeight="1">
      <c r="A57" s="70" t="str">
        <f>VLOOKUP(LEFT($A58,4),'Auto Responses'!$N$4:$O$38,2,0)&amp;""</f>
        <v xml:space="preserve"> Privacy-Specific Documentation</v>
      </c>
      <c r="B57" s="29"/>
      <c r="C57" s="38"/>
      <c r="D57" s="38"/>
      <c r="E57" s="351"/>
      <c r="F57" s="139" t="s">
        <v>1089</v>
      </c>
      <c r="G57" s="358" t="s">
        <v>925</v>
      </c>
      <c r="H57" s="358" t="s">
        <v>927</v>
      </c>
      <c r="I57" s="358" t="s">
        <v>19</v>
      </c>
      <c r="J57" s="358" t="s">
        <v>912</v>
      </c>
      <c r="K57" s="38"/>
    </row>
    <row r="58" spans="1:12" s="36" customFormat="1" ht="48" customHeight="1">
      <c r="A58" s="25" t="s">
        <v>723</v>
      </c>
      <c r="B58" s="24" t="str">
        <f>VLOOKUP($A58,Questions!$A$2:$X$333,2,0)</f>
        <v>If you have completed a SOC 2 audit, does it include the Privacy Trust Service Principle?</v>
      </c>
      <c r="C58" s="52" t="str">
        <f>VLOOKUP($A58,Privacy!$A$13:$E$97,3,0)&amp;""</f>
        <v>N/A</v>
      </c>
      <c r="D58" s="41" t="str">
        <f>IF(LEFT(VLOOKUP($A58,Privacy!$A$13:$E$97,5,0),21)='Auto Responses'!$A$73,'Auto Responses'!$A$74,VLOOKUP($A58,Privacy!$A$13:$E$97,4,0))&amp;""</f>
        <v>Server is housed by third party datacenter, Liquid Web, LLC.   They have the completed SOC report.</v>
      </c>
      <c r="E58" s="350" t="str">
        <f>VLOOKUP($A58,Privacy!$A$13:$E$97,5,0)&amp;""</f>
        <v>Please explain why this does not apply to your product or service.</v>
      </c>
      <c r="F58" s="195"/>
      <c r="G58" s="37" t="str">
        <f>VLOOKUP($A58,Questions!$A$2:$X$333,21,0)&amp;""</f>
        <v>Yes</v>
      </c>
      <c r="H58" s="192"/>
      <c r="I58" s="52" t="str">
        <f>VLOOKUP($A58,Questions!$A$2:$X$333,23,0)&amp;""</f>
        <v>Standard Importance</v>
      </c>
      <c r="J58" s="192"/>
      <c r="K58" s="55" t="b">
        <v>0</v>
      </c>
      <c r="L58" s="1"/>
    </row>
    <row r="59" spans="1:12" s="36" customFormat="1" ht="48" customHeight="1">
      <c r="A59" s="25" t="s">
        <v>724</v>
      </c>
      <c r="B59" s="24" t="str">
        <f>VLOOKUP($A59,Questions!$A$2:$X$333,2,0)</f>
        <v>Do you conform with a specific industry-standard privacy framework (e.g., NIST Privacy Framework, GDPR, ISO 27701)?</v>
      </c>
      <c r="C59" s="52" t="str">
        <f>VLOOKUP($A59,Privacy!$A$13:$E$97,3,0)&amp;""</f>
        <v>yes</v>
      </c>
      <c r="D59" s="41" t="str">
        <f>IF(LEFT(VLOOKUP($A59,Privacy!$A$13:$E$97,5,0),21)='Auto Responses'!$A$73,'Auto Responses'!$A$74,VLOOKUP($A59,Privacy!$A$13:$E$97,4,0))&amp;""</f>
        <v>Liquid Web LLC in their SOC report</v>
      </c>
      <c r="E59" s="350" t="str">
        <f>VLOOKUP($A59,Privacy!$A$13:$E$97,5,0)&amp;""</f>
        <v>Provide documentation on how your organization conforms to your chosen framework and indicate current certification levels, where appropriate.</v>
      </c>
      <c r="F59" s="195"/>
      <c r="G59" s="37" t="str">
        <f>VLOOKUP($A59,Questions!$A$2:$X$333,21,0)&amp;""</f>
        <v>Yes</v>
      </c>
      <c r="H59" s="192"/>
      <c r="I59" s="52" t="str">
        <f>VLOOKUP($A59,Questions!$A$2:$X$333,23,0)&amp;""</f>
        <v>Standard Importance</v>
      </c>
      <c r="J59" s="192"/>
      <c r="K59" s="55" t="b">
        <v>0</v>
      </c>
      <c r="L59" s="1"/>
    </row>
    <row r="60" spans="1:12" s="36" customFormat="1" ht="48" customHeight="1">
      <c r="A60" s="25" t="s">
        <v>726</v>
      </c>
      <c r="B60" s="24" t="str">
        <f>VLOOKUP($A60,Questions!$A$2:$X$333,2,0)</f>
        <v>Does your employee onboarding and offboarding policy include training of employees on information security and data privacy?</v>
      </c>
      <c r="C60" s="52" t="str">
        <f>VLOOKUP($A60,Privacy!$A$13:$E$97,3,0)&amp;""</f>
        <v>No</v>
      </c>
      <c r="D60" s="41" t="str">
        <f>IF(LEFT(VLOOKUP($A60,Privacy!$A$13:$E$97,5,0),21)='Auto Responses'!$A$73,'Auto Responses'!$A$74,VLOOKUP($A60,Privacy!$A$13:$E$97,4,0))&amp;""</f>
        <v/>
      </c>
      <c r="E60" s="350" t="str">
        <f>VLOOKUP($A60,Privacy!$A$13:$E$97,5,0)&amp;""</f>
        <v/>
      </c>
      <c r="F60" s="195"/>
      <c r="G60" s="37" t="str">
        <f>VLOOKUP($A60,Questions!$A$2:$X$333,21,0)&amp;""</f>
        <v>Yes</v>
      </c>
      <c r="H60" s="192"/>
      <c r="I60" s="52" t="str">
        <f>VLOOKUP($A60,Questions!$A$2:$X$333,23,0)&amp;""</f>
        <v>Standard Importance</v>
      </c>
      <c r="J60" s="192"/>
      <c r="K60" s="55" t="b">
        <v>0</v>
      </c>
      <c r="L60" s="1"/>
    </row>
    <row r="61" spans="1:12" s="1" customFormat="1" ht="37.25" customHeight="1">
      <c r="A61" s="70" t="str">
        <f>VLOOKUP(LEFT($A62,4),'Auto Responses'!$N$4:$O$38,2,0)&amp;""</f>
        <v xml:space="preserve"> Privacy of Third Parties</v>
      </c>
      <c r="B61" s="29"/>
      <c r="C61" s="38"/>
      <c r="D61" s="38"/>
      <c r="E61" s="351"/>
      <c r="F61" s="139" t="s">
        <v>1089</v>
      </c>
      <c r="G61" s="358" t="s">
        <v>925</v>
      </c>
      <c r="H61" s="358" t="s">
        <v>927</v>
      </c>
      <c r="I61" s="358" t="s">
        <v>19</v>
      </c>
      <c r="J61" s="358" t="s">
        <v>912</v>
      </c>
      <c r="K61" s="38"/>
    </row>
    <row r="62" spans="1:12" s="36" customFormat="1" ht="48" customHeight="1">
      <c r="A62" s="25" t="s">
        <v>728</v>
      </c>
      <c r="B62" s="24" t="str">
        <f>VLOOKUP($A62,Questions!$A$2:$X$333,2,0)</f>
        <v>Do you have contractual agreements with third parties that require them to maintain standards and to comply with all regulatory requirements?*</v>
      </c>
      <c r="C62" s="52" t="str">
        <f>VLOOKUP($A62,Privacy!$A$13:$E$97,3,0)&amp;""</f>
        <v>yes</v>
      </c>
      <c r="D62" s="41" t="str">
        <f>IF(LEFT(VLOOKUP($A62,Privacy!$A$13:$E$97,5,0),21)='Auto Responses'!$A$73,'Auto Responses'!$A$74,VLOOKUP($A62,Privacy!$A$13:$E$97,4,0))&amp;""</f>
        <v/>
      </c>
      <c r="E62" s="350" t="str">
        <f>VLOOKUP($A62,Privacy!$A$13:$E$97,5,0)&amp;""</f>
        <v/>
      </c>
      <c r="F62" s="195"/>
      <c r="G62" s="37" t="str">
        <f>VLOOKUP($A62,Questions!$A$2:$X$333,21,0)&amp;""</f>
        <v>Yes</v>
      </c>
      <c r="H62" s="192"/>
      <c r="I62" s="52" t="str">
        <f>VLOOKUP($A62,Questions!$A$2:$X$333,23,0)&amp;""</f>
        <v>Critical Importance</v>
      </c>
      <c r="J62" s="192"/>
      <c r="K62" s="55" t="b">
        <v>0</v>
      </c>
      <c r="L62" s="1"/>
    </row>
    <row r="63" spans="1:12" s="36" customFormat="1" ht="95.25" customHeight="1">
      <c r="A63" s="25" t="s">
        <v>732</v>
      </c>
      <c r="B63" s="24" t="str">
        <f>VLOOKUP($A63,Questions!$A$2:$X$333,2,0)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63" s="52" t="str">
        <f>VLOOKUP($A63,Privacy!$A$13:$E$97,3,0)&amp;""</f>
        <v>No</v>
      </c>
      <c r="D63" s="41" t="str">
        <f>IF(LEFT(VLOOKUP($A63,Privacy!$A$13:$E$97,5,0),21)='Auto Responses'!$A$73,'Auto Responses'!$A$74,VLOOKUP($A63,Privacy!$A$13:$E$97,4,0))&amp;""</f>
        <v>The only third party with access to institutional data is Liquid Web, a SOC-audited hosting provider that undergoes independent third-party assessments (SOC 2/3) to ensure compliance with industry and regulatory standards</v>
      </c>
      <c r="E63" s="350" t="str">
        <f>VLOOKUP($A63,Privacy!$A$13:$E$97,5,0)&amp;""</f>
        <v>State your plans to perform data privacy assessments of third parties.</v>
      </c>
      <c r="F63" s="195"/>
      <c r="G63" s="37" t="str">
        <f>VLOOKUP($A63,Questions!$A$2:$X$333,21,0)&amp;""</f>
        <v>Yes</v>
      </c>
      <c r="H63" s="192"/>
      <c r="I63" s="52" t="str">
        <f>VLOOKUP($A63,Questions!$A$2:$X$333,23,0)&amp;""</f>
        <v>Minor Importance</v>
      </c>
      <c r="J63" s="192"/>
      <c r="K63" s="55" t="b">
        <v>0</v>
      </c>
      <c r="L63" s="1"/>
    </row>
    <row r="64" spans="1:12" s="1" customFormat="1" ht="37.25" customHeight="1">
      <c r="A64" s="70" t="str">
        <f>VLOOKUP(LEFT($A65,4),'Auto Responses'!$N$4:$O$38,2,0)&amp;""</f>
        <v xml:space="preserve"> Privacy Change Management</v>
      </c>
      <c r="B64" s="29"/>
      <c r="C64" s="38"/>
      <c r="D64" s="38"/>
      <c r="E64" s="351"/>
      <c r="F64" s="139" t="s">
        <v>1089</v>
      </c>
      <c r="G64" s="358" t="s">
        <v>925</v>
      </c>
      <c r="H64" s="358" t="s">
        <v>927</v>
      </c>
      <c r="I64" s="358" t="s">
        <v>19</v>
      </c>
      <c r="J64" s="358" t="s">
        <v>912</v>
      </c>
      <c r="K64" s="38"/>
    </row>
    <row r="65" spans="1:12" s="36" customFormat="1" ht="48" customHeight="1">
      <c r="A65" s="25" t="s">
        <v>733</v>
      </c>
      <c r="B65" s="24" t="str">
        <f>VLOOKUP($A65,Questions!$A$2:$X$333,2,0)</f>
        <v>Does your change management process include privacy review and approval?</v>
      </c>
      <c r="C65" s="52" t="str">
        <f>VLOOKUP($A65,Privacy!$A$13:$E$97,3,0)&amp;""</f>
        <v>yes</v>
      </c>
      <c r="D65" s="41" t="str">
        <f>IF(LEFT(VLOOKUP($A65,Privacy!$A$13:$E$97,5,0),21)='Auto Responses'!$A$73,'Auto Responses'!$A$74,VLOOKUP($A65,Privacy!$A$13:$E$97,4,0))&amp;""</f>
        <v/>
      </c>
      <c r="E65" s="350" t="str">
        <f>VLOOKUP($A65,Privacy!$A$13:$E$97,5,0)&amp;""</f>
        <v xml:space="preserve">Please describe your process for privacy review. </v>
      </c>
      <c r="F65" s="195"/>
      <c r="G65" s="37" t="str">
        <f>VLOOKUP($A65,Questions!$A$2:$X$333,21,0)&amp;""</f>
        <v>Yes</v>
      </c>
      <c r="H65" s="192"/>
      <c r="I65" s="52" t="str">
        <f>VLOOKUP($A65,Questions!$A$2:$X$333,23,0)&amp;""</f>
        <v>Standard Importance</v>
      </c>
      <c r="J65" s="192"/>
      <c r="K65" s="55" t="b">
        <v>0</v>
      </c>
      <c r="L65" s="1"/>
    </row>
    <row r="66" spans="1:12" s="36" customFormat="1" ht="48" customHeight="1">
      <c r="A66" s="25" t="s">
        <v>736</v>
      </c>
      <c r="B66" s="24" t="str">
        <f>VLOOKUP($A66,Questions!$A$2:$X$333,2,0)</f>
        <v>Do you have policy and procedure, currently implemented, guiding how privacy risks are mitigated until they can be resolved?</v>
      </c>
      <c r="C66" s="52" t="str">
        <f>VLOOKUP($A66,Privacy!$A$13:$E$97,3,0)&amp;""</f>
        <v>No</v>
      </c>
      <c r="D66" s="41" t="str">
        <f>IF(LEFT(VLOOKUP($A66,Privacy!$A$13:$E$97,5,0),21)='Auto Responses'!$A$73,'Auto Responses'!$A$74,VLOOKUP($A66,Privacy!$A$13:$E$97,4,0))&amp;""</f>
        <v/>
      </c>
      <c r="E66" s="350" t="str">
        <f>VLOOKUP($A66,Privacy!$A$13:$E$97,5,0)&amp;""</f>
        <v/>
      </c>
      <c r="F66" s="195"/>
      <c r="G66" s="37" t="str">
        <f>VLOOKUP($A66,Questions!$A$2:$X$333,21,0)&amp;""</f>
        <v>Yes</v>
      </c>
      <c r="H66" s="192"/>
      <c r="I66" s="52" t="str">
        <f>VLOOKUP($A66,Questions!$A$2:$X$333,23,0)&amp;""</f>
        <v>Minor Importance</v>
      </c>
      <c r="J66" s="192"/>
      <c r="K66" s="55" t="b">
        <v>0</v>
      </c>
      <c r="L66" s="1"/>
    </row>
    <row r="67" spans="1:12" s="1" customFormat="1" ht="37.25" customHeight="1">
      <c r="A67" s="70" t="str">
        <f>VLOOKUP(LEFT($A68,4),'Auto Responses'!$N$4:$O$38,2,0)&amp;""</f>
        <v xml:space="preserve"> Privacy of Sensitive Data</v>
      </c>
      <c r="B67" s="29"/>
      <c r="C67" s="38"/>
      <c r="D67" s="38"/>
      <c r="E67" s="351"/>
      <c r="F67" s="139" t="s">
        <v>1089</v>
      </c>
      <c r="G67" s="358" t="s">
        <v>925</v>
      </c>
      <c r="H67" s="358" t="s">
        <v>927</v>
      </c>
      <c r="I67" s="358" t="s">
        <v>19</v>
      </c>
      <c r="J67" s="358" t="s">
        <v>912</v>
      </c>
      <c r="K67" s="38"/>
    </row>
    <row r="68" spans="1:12" s="36" customFormat="1" ht="48" customHeight="1">
      <c r="A68" s="25" t="s">
        <v>738</v>
      </c>
      <c r="B68" s="24" t="str">
        <f>VLOOKUP($A68,Questions!$A$2:$X$333,2,0)</f>
        <v>Do you collect, process, or store demographic information?*</v>
      </c>
      <c r="C68" s="52" t="str">
        <f>VLOOKUP($A68,Privacy!$A$13:$E$97,3,0)&amp;""</f>
        <v>no</v>
      </c>
      <c r="D68" s="41" t="str">
        <f>IF(LEFT(VLOOKUP($A68,Privacy!$A$13:$E$97,5,0),21)='Auto Responses'!$A$73,'Auto Responses'!$A$74,VLOOKUP($A68,Privacy!$A$13:$E$97,4,0))&amp;""</f>
        <v/>
      </c>
      <c r="E68" s="350" t="str">
        <f>VLOOKUP($A68,Privacy!$A$13:$E$97,5,0)&amp;""</f>
        <v/>
      </c>
      <c r="F68" s="195"/>
      <c r="G68" s="37" t="str">
        <f>VLOOKUP($A68,Questions!$A$2:$X$333,21,0)&amp;""</f>
        <v>No</v>
      </c>
      <c r="H68" s="192"/>
      <c r="I68" s="52" t="str">
        <f>VLOOKUP($A68,Questions!$A$2:$X$333,23,0)&amp;""</f>
        <v>Critical Importance</v>
      </c>
      <c r="J68" s="192"/>
      <c r="K68" s="55" t="b">
        <v>0</v>
      </c>
      <c r="L68" s="1"/>
    </row>
    <row r="69" spans="1:12" s="36" customFormat="1" ht="48" customHeight="1">
      <c r="A69" s="25" t="s">
        <v>740</v>
      </c>
      <c r="B69" s="24" t="str">
        <f>VLOOKUP($A69,Questions!$A$2:$X$333,2,0)</f>
        <v>Do you capture or create genetic, biometric, or behaviometric information (e.g.,  facial recognition or fingerprints)?*</v>
      </c>
      <c r="C69" s="52" t="str">
        <f>VLOOKUP($A69,Privacy!$A$13:$E$97,3,0)&amp;""</f>
        <v>no</v>
      </c>
      <c r="D69" s="41" t="str">
        <f>IF(LEFT(VLOOKUP($A69,Privacy!$A$13:$E$97,5,0),21)='Auto Responses'!$A$73,'Auto Responses'!$A$74,VLOOKUP($A69,Privacy!$A$13:$E$97,4,0))&amp;""</f>
        <v/>
      </c>
      <c r="E69" s="350" t="str">
        <f>VLOOKUP($A69,Privacy!$A$13:$E$97,5,0)&amp;""</f>
        <v/>
      </c>
      <c r="F69" s="195"/>
      <c r="G69" s="37" t="str">
        <f>VLOOKUP($A69,Questions!$A$2:$X$333,21,0)&amp;""</f>
        <v>No</v>
      </c>
      <c r="H69" s="192"/>
      <c r="I69" s="52" t="str">
        <f>VLOOKUP($A69,Questions!$A$2:$X$333,23,0)&amp;""</f>
        <v>Critical Importance</v>
      </c>
      <c r="J69" s="192"/>
      <c r="K69" s="55" t="b">
        <v>0</v>
      </c>
      <c r="L69" s="1"/>
    </row>
    <row r="70" spans="1:12" s="36" customFormat="1" ht="48" customHeight="1">
      <c r="A70" s="25" t="s">
        <v>743</v>
      </c>
      <c r="B70" s="24" t="str">
        <f>VLOOKUP($A70,Questions!$A$2:$X$333,2,0)</f>
        <v>Do you combine institutional data (including "de-identified," "anonymized," or otherwise masked data) with personal data from any other sources?*</v>
      </c>
      <c r="C70" s="52" t="str">
        <f>VLOOKUP($A70,Privacy!$A$13:$E$97,3,0)&amp;""</f>
        <v>no</v>
      </c>
      <c r="D70" s="41" t="str">
        <f>IF(LEFT(VLOOKUP($A70,Privacy!$A$13:$E$97,5,0),21)='Auto Responses'!$A$73,'Auto Responses'!$A$74,VLOOKUP($A70,Privacy!$A$13:$E$97,4,0))&amp;""</f>
        <v/>
      </c>
      <c r="E70" s="350" t="str">
        <f>VLOOKUP($A70,Privacy!$A$13:$E$97,5,0)&amp;""</f>
        <v/>
      </c>
      <c r="F70" s="195"/>
      <c r="G70" s="37" t="str">
        <f>VLOOKUP($A70,Questions!$A$2:$X$333,21,0)&amp;""</f>
        <v>No</v>
      </c>
      <c r="H70" s="192"/>
      <c r="I70" s="52" t="str">
        <f>VLOOKUP($A70,Questions!$A$2:$X$333,23,0)&amp;""</f>
        <v>Critical Importance</v>
      </c>
      <c r="J70" s="192"/>
      <c r="K70" s="55" t="b">
        <v>0</v>
      </c>
      <c r="L70" s="1"/>
    </row>
    <row r="71" spans="1:12" s="36" customFormat="1" ht="48" customHeight="1">
      <c r="A71" s="25" t="s">
        <v>745</v>
      </c>
      <c r="B71" s="24" t="str">
        <f>VLOOKUP($A71,Questions!$A$2:$X$333,2,0)</f>
        <v>Is institutional data coming into or going out of the United States at any point during collection, processing, storage, or archiving?</v>
      </c>
      <c r="C71" s="52" t="str">
        <f>VLOOKUP($A71,Privacy!$A$13:$E$97,3,0)&amp;""</f>
        <v>no</v>
      </c>
      <c r="D71" s="41" t="str">
        <f>IF(LEFT(VLOOKUP($A71,Privacy!$A$13:$E$97,5,0),21)='Auto Responses'!$A$73,'Auto Responses'!$A$74,VLOOKUP($A71,Privacy!$A$13:$E$97,4,0))&amp;""</f>
        <v/>
      </c>
      <c r="E71" s="350" t="str">
        <f>VLOOKUP($A71,Privacy!$A$13:$E$97,5,0)&amp;""</f>
        <v/>
      </c>
      <c r="F71" s="195"/>
      <c r="G71" s="37" t="str">
        <f>VLOOKUP($A71,Questions!$A$2:$X$333,21,0)&amp;""</f>
        <v>No</v>
      </c>
      <c r="H71" s="192"/>
      <c r="I71" s="52" t="str">
        <f>VLOOKUP($A71,Questions!$A$2:$X$333,23,0)&amp;""</f>
        <v>Minor Importance</v>
      </c>
      <c r="J71" s="192"/>
      <c r="K71" s="55" t="b">
        <v>0</v>
      </c>
      <c r="L71" s="1"/>
    </row>
    <row r="72" spans="1:12" s="36" customFormat="1" ht="48" customHeight="1">
      <c r="A72" s="25" t="s">
        <v>747</v>
      </c>
      <c r="B72" s="24" t="str">
        <f>VLOOKUP($A72,Questions!$A$2:$X$333,2,0)</f>
        <v>Do you capture device information (e.g., IP address, MAC address)?</v>
      </c>
      <c r="C72" s="52" t="str">
        <f>VLOOKUP($A72,Privacy!$A$13:$E$97,3,0)&amp;""</f>
        <v>no</v>
      </c>
      <c r="D72" s="41" t="str">
        <f>IF(LEFT(VLOOKUP($A72,Privacy!$A$13:$E$97,5,0),21)='Auto Responses'!$A$73,'Auto Responses'!$A$74,VLOOKUP($A72,Privacy!$A$13:$E$97,4,0))&amp;""</f>
        <v/>
      </c>
      <c r="E72" s="350" t="str">
        <f>VLOOKUP($A72,Privacy!$A$13:$E$97,5,0)&amp;""</f>
        <v/>
      </c>
      <c r="F72" s="195"/>
      <c r="G72" s="37" t="str">
        <f>VLOOKUP($A72,Questions!$A$2:$X$333,21,0)&amp;""</f>
        <v>No</v>
      </c>
      <c r="H72" s="192"/>
      <c r="I72" s="52" t="str">
        <f>VLOOKUP($A72,Questions!$A$2:$X$333,23,0)&amp;""</f>
        <v>Minor Importance</v>
      </c>
      <c r="J72" s="192"/>
      <c r="K72" s="55" t="b">
        <v>0</v>
      </c>
      <c r="L72" s="1"/>
    </row>
    <row r="73" spans="1:12" s="36" customFormat="1" ht="48" customHeight="1">
      <c r="A73" s="25" t="s">
        <v>748</v>
      </c>
      <c r="B73" s="24" t="str">
        <f>VLOOKUP($A73,Questions!$A$2:$X$333,2,0)</f>
        <v>Does any part of this service/project involve a web/app tracking component (e.g., use of web-tracking pixels, cookies)?</v>
      </c>
      <c r="C73" s="52" t="str">
        <f>VLOOKUP($A73,Privacy!$A$13:$E$97,3,0)&amp;""</f>
        <v>no</v>
      </c>
      <c r="D73" s="41" t="str">
        <f>IF(LEFT(VLOOKUP($A73,Privacy!$A$13:$E$97,5,0),21)='Auto Responses'!$A$73,'Auto Responses'!$A$74,VLOOKUP($A73,Privacy!$A$13:$E$97,4,0))&amp;""</f>
        <v/>
      </c>
      <c r="E73" s="350" t="str">
        <f>VLOOKUP($A73,Privacy!$A$13:$E$97,5,0)&amp;""</f>
        <v/>
      </c>
      <c r="F73" s="195"/>
      <c r="G73" s="37" t="str">
        <f>VLOOKUP($A73,Questions!$A$2:$X$333,21,0)&amp;""</f>
        <v>No</v>
      </c>
      <c r="H73" s="192"/>
      <c r="I73" s="52" t="str">
        <f>VLOOKUP($A73,Questions!$A$2:$X$333,23,0)&amp;""</f>
        <v>Minor Importance</v>
      </c>
      <c r="J73" s="192"/>
      <c r="K73" s="55" t="b">
        <v>0</v>
      </c>
      <c r="L73" s="1"/>
    </row>
    <row r="74" spans="1:12" s="36" customFormat="1" ht="48" customHeight="1">
      <c r="A74" s="25" t="s">
        <v>749</v>
      </c>
      <c r="B74" s="24" t="str">
        <f>VLOOKUP($A74,Questions!$A$2:$X$333,2,0)</f>
        <v>Does your staff (or a third party) have access to institutional data (e.g., financial, PHI, or other sensitive information) through any means?</v>
      </c>
      <c r="C74" s="52" t="str">
        <f>VLOOKUP($A74,Privacy!$A$13:$E$97,3,0)&amp;""</f>
        <v>no</v>
      </c>
      <c r="D74" s="41" t="str">
        <f>IF(LEFT(VLOOKUP($A74,Privacy!$A$13:$E$97,5,0),21)='Auto Responses'!$A$73,'Auto Responses'!$A$74,VLOOKUP($A74,Privacy!$A$13:$E$97,4,0))&amp;""</f>
        <v/>
      </c>
      <c r="E74" s="350" t="str">
        <f>VLOOKUP($A74,Privacy!$A$13:$E$97,5,0)&amp;""</f>
        <v/>
      </c>
      <c r="F74" s="195"/>
      <c r="G74" s="37" t="str">
        <f>VLOOKUP($A74,Questions!$A$2:$X$333,21,0)&amp;""</f>
        <v>No</v>
      </c>
      <c r="H74" s="192"/>
      <c r="I74" s="52" t="str">
        <f>VLOOKUP($A74,Questions!$A$2:$X$333,23,0)&amp;""</f>
        <v>Minor Importance</v>
      </c>
      <c r="J74" s="192"/>
      <c r="K74" s="55" t="b">
        <v>0</v>
      </c>
      <c r="L74" s="1"/>
    </row>
    <row r="75" spans="1:12" s="36" customFormat="1" ht="48" customHeight="1">
      <c r="A75" s="25" t="s">
        <v>751</v>
      </c>
      <c r="B75" s="24" t="str">
        <f>VLOOKUP($A75,Questions!$A$2:$X$333,2,0)</f>
        <v>Will you handle personal data in a manner compliant with all relevant laws, regulations, and applicable institution policies?</v>
      </c>
      <c r="C75" s="52" t="str">
        <f>VLOOKUP($A75,Privacy!$A$13:$E$97,3,0)&amp;""</f>
        <v>yes</v>
      </c>
      <c r="D75" s="41" t="str">
        <f>IF(LEFT(VLOOKUP($A75,Privacy!$A$13:$E$97,5,0),21)='Auto Responses'!$A$73,'Auto Responses'!$A$74,VLOOKUP($A75,Privacy!$A$13:$E$97,4,0))&amp;""</f>
        <v/>
      </c>
      <c r="E75" s="350" t="str">
        <f>VLOOKUP($A75,Privacy!$A$13:$E$97,5,0)&amp;""</f>
        <v/>
      </c>
      <c r="F75" s="195"/>
      <c r="G75" s="37" t="str">
        <f>VLOOKUP($A75,Questions!$A$2:$X$333,21,0)&amp;""</f>
        <v>Yes</v>
      </c>
      <c r="H75" s="192"/>
      <c r="I75" s="52" t="str">
        <f>VLOOKUP($A75,Questions!$A$2:$X$333,23,0)&amp;""</f>
        <v>Minor Importance</v>
      </c>
      <c r="J75" s="192"/>
      <c r="K75" s="55" t="b">
        <v>0</v>
      </c>
      <c r="L75" s="1"/>
    </row>
    <row r="76" spans="1:12" s="1" customFormat="1" ht="37.25" customHeight="1">
      <c r="A76" s="70" t="str">
        <f>VLOOKUP(LEFT($A77,4),'Auto Responses'!$N$4:$O$38,2,0)&amp;""</f>
        <v xml:space="preserve"> Privacy Policies and Procedures</v>
      </c>
      <c r="B76" s="29"/>
      <c r="C76" s="38"/>
      <c r="D76" s="38"/>
      <c r="E76" s="351"/>
      <c r="F76" s="139" t="s">
        <v>1089</v>
      </c>
      <c r="G76" s="358" t="s">
        <v>925</v>
      </c>
      <c r="H76" s="358" t="s">
        <v>927</v>
      </c>
      <c r="I76" s="358" t="s">
        <v>19</v>
      </c>
      <c r="J76" s="358" t="s">
        <v>912</v>
      </c>
      <c r="K76" s="38"/>
    </row>
    <row r="77" spans="1:12" s="36" customFormat="1" ht="48" customHeight="1">
      <c r="A77" s="25" t="s">
        <v>752</v>
      </c>
      <c r="B77" s="24" t="str">
        <f>VLOOKUP($A77,Questions!$A$2:$X$333,2,0)</f>
        <v>Do you have a documented privacy management process?</v>
      </c>
      <c r="C77" s="52" t="str">
        <f>VLOOKUP($A77,Privacy!$A$13:$E$97,3,0)&amp;""</f>
        <v>yes</v>
      </c>
      <c r="D77" s="41" t="str">
        <f>IF(LEFT(VLOOKUP($A77,Privacy!$A$13:$E$97,5,0),21)='Auto Responses'!$A$73,'Auto Responses'!$A$74,VLOOKUP($A77,Privacy!$A$13:$E$97,4,0))&amp;""</f>
        <v>America's Software Corporation maintains documented privacy practices governing the collection, use, retention, and protection of customer information. These practices are incorporated into our Terms &amp; Conditions and Privacy Policy.</v>
      </c>
      <c r="E77" s="350" t="str">
        <f>VLOOKUP($A77,Privacy!$A$13:$E$97,5,0)&amp;""</f>
        <v>Describe privacy management process or provide links or attach documentation.</v>
      </c>
      <c r="F77" s="195"/>
      <c r="G77" s="37" t="str">
        <f>VLOOKUP($A77,Questions!$A$2:$X$333,21,0)&amp;""</f>
        <v>Yes</v>
      </c>
      <c r="H77" s="192"/>
      <c r="I77" s="52" t="str">
        <f>VLOOKUP($A77,Questions!$A$2:$X$333,23,0)&amp;""</f>
        <v>Minor Importance</v>
      </c>
      <c r="J77" s="192"/>
      <c r="K77" s="55" t="b">
        <v>0</v>
      </c>
      <c r="L77" s="1"/>
    </row>
    <row r="78" spans="1:12" s="36" customFormat="1" ht="48" customHeight="1">
      <c r="A78" s="25" t="s">
        <v>756</v>
      </c>
      <c r="B78" s="24" t="str">
        <f>VLOOKUP($A78,Questions!$A$2:$X$333,2,0)</f>
        <v>Are privacy principles designed into the product lifecycle (i.e., privacy-by-design)?</v>
      </c>
      <c r="C78" s="52" t="str">
        <f>VLOOKUP($A78,Privacy!$A$13:$E$97,3,0)&amp;""</f>
        <v>yes</v>
      </c>
      <c r="D78" s="41" t="str">
        <f>IF(LEFT(VLOOKUP($A78,Privacy!$A$13:$E$97,5,0),21)='Auto Responses'!$A$73,'Auto Responses'!$A$74,VLOOKUP($A78,Privacy!$A$13:$E$97,4,0))&amp;""</f>
        <v>Privacy considerations are incorporated throughout product design and development. TalEval collects only the minimum information necessary to provide its services, limits access based on user roles, encrypts data in transit using TLS, and avoids storing unnecessary sensitive information.</v>
      </c>
      <c r="E78" s="350" t="str">
        <f>VLOOKUP($A78,Privacy!$A$13:$E$97,5,0)&amp;""</f>
        <v>Summarize the privacy principles designed into the product lifecycle.</v>
      </c>
      <c r="F78" s="195"/>
      <c r="G78" s="37" t="str">
        <f>VLOOKUP($A78,Questions!$A$2:$X$333,21,0)&amp;""</f>
        <v>Yes</v>
      </c>
      <c r="H78" s="192"/>
      <c r="I78" s="52" t="str">
        <f>VLOOKUP($A78,Questions!$A$2:$X$333,23,0)&amp;""</f>
        <v>Minor Importance</v>
      </c>
      <c r="J78" s="192"/>
      <c r="K78" s="55" t="b">
        <v>0</v>
      </c>
      <c r="L78" s="1"/>
    </row>
    <row r="79" spans="1:12" s="36" customFormat="1" ht="48" customHeight="1">
      <c r="A79" s="25" t="s">
        <v>759</v>
      </c>
      <c r="B79" s="24" t="str">
        <f>VLOOKUP($A79,Questions!$A$2:$X$333,2,0)</f>
        <v>Will you comply with applicable breach notification laws?</v>
      </c>
      <c r="C79" s="52" t="str">
        <f>VLOOKUP($A79,Privacy!$A$13:$E$97,3,0)&amp;""</f>
        <v>yes</v>
      </c>
      <c r="D79" s="41" t="str">
        <f>IF(LEFT(VLOOKUP($A79,Privacy!$A$13:$E$97,5,0),21)='Auto Responses'!$A$73,'Auto Responses'!$A$74,VLOOKUP($A79,Privacy!$A$13:$E$97,4,0))&amp;""</f>
        <v>within 2 business days</v>
      </c>
      <c r="E79" s="350" t="str">
        <f>VLOOKUP($A79,Privacy!$A$13:$E$97,5,0)&amp;""</f>
        <v>State how quickly the institution will be notified.</v>
      </c>
      <c r="F79" s="195"/>
      <c r="G79" s="37" t="str">
        <f>VLOOKUP($A79,Questions!$A$2:$X$333,21,0)&amp;""</f>
        <v>Yes</v>
      </c>
      <c r="H79" s="192"/>
      <c r="I79" s="52" t="str">
        <f>VLOOKUP($A79,Questions!$A$2:$X$333,23,0)&amp;""</f>
        <v>Standard Importance</v>
      </c>
      <c r="J79" s="192"/>
      <c r="K79" s="55" t="b">
        <v>0</v>
      </c>
      <c r="L79" s="1"/>
    </row>
    <row r="80" spans="1:12" s="36" customFormat="1" ht="48" customHeight="1">
      <c r="A80" s="25" t="s">
        <v>762</v>
      </c>
      <c r="B80" s="24" t="str">
        <f>VLOOKUP($A80,Questions!$A$2:$X$333,2,0)</f>
        <v>Will you comply with the institution's policies regarding user privacy and data protection?</v>
      </c>
      <c r="C80" s="52" t="str">
        <f>VLOOKUP($A80,Privacy!$A$13:$E$97,3,0)&amp;""</f>
        <v>yes</v>
      </c>
      <c r="D80" s="41" t="str">
        <f>IF(LEFT(VLOOKUP($A80,Privacy!$A$13:$E$97,5,0),21)='Auto Responses'!$A$73,'Auto Responses'!$A$74,VLOOKUP($A80,Privacy!$A$13:$E$97,4,0))&amp;""</f>
        <v/>
      </c>
      <c r="E80" s="350" t="str">
        <f>VLOOKUP($A80,Privacy!$A$13:$E$97,5,0)&amp;""</f>
        <v/>
      </c>
      <c r="F80" s="195"/>
      <c r="G80" s="37" t="str">
        <f>VLOOKUP($A80,Questions!$A$2:$X$333,21,0)&amp;""</f>
        <v>Yes</v>
      </c>
      <c r="H80" s="192"/>
      <c r="I80" s="52" t="str">
        <f>VLOOKUP($A80,Questions!$A$2:$X$333,23,0)&amp;""</f>
        <v>Minor Importance</v>
      </c>
      <c r="J80" s="192"/>
      <c r="K80" s="55" t="b">
        <v>0</v>
      </c>
      <c r="L80" s="1"/>
    </row>
    <row r="81" spans="1:12" s="36" customFormat="1" ht="48" customHeight="1">
      <c r="A81" s="25" t="s">
        <v>764</v>
      </c>
      <c r="B81" s="24" t="str">
        <f>VLOOKUP($A81,Questions!$A$2:$X$333,2,0)</f>
        <v>Is your company subject to the laws and regulations of the institution's geographic region?</v>
      </c>
      <c r="C81" s="52" t="str">
        <f>VLOOKUP($A81,Privacy!$A$13:$E$97,3,0)&amp;""</f>
        <v>yes</v>
      </c>
      <c r="D81" s="41" t="str">
        <f>IF(LEFT(VLOOKUP($A81,Privacy!$A$13:$E$97,5,0),21)='Auto Responses'!$A$73,'Auto Responses'!$A$74,VLOOKUP($A81,Privacy!$A$13:$E$97,4,0))&amp;""</f>
        <v/>
      </c>
      <c r="E81" s="350" t="str">
        <f>VLOOKUP($A81,Privacy!$A$13:$E$97,5,0)&amp;""</f>
        <v/>
      </c>
      <c r="F81" s="195"/>
      <c r="G81" s="37" t="str">
        <f>VLOOKUP($A81,Questions!$A$2:$X$333,21,0)&amp;""</f>
        <v>Yes</v>
      </c>
      <c r="H81" s="192"/>
      <c r="I81" s="52" t="str">
        <f>VLOOKUP($A81,Questions!$A$2:$X$333,23,0)&amp;""</f>
        <v>Minor Importance</v>
      </c>
      <c r="J81" s="192"/>
      <c r="K81" s="55" t="b">
        <v>0</v>
      </c>
      <c r="L81" s="1"/>
    </row>
    <row r="82" spans="1:12" s="36" customFormat="1" ht="48" customHeight="1">
      <c r="A82" s="25" t="s">
        <v>766</v>
      </c>
      <c r="B82" s="24" t="str">
        <f>VLOOKUP($A82,Questions!$A$2:$X$333,2,0)</f>
        <v>Do you have a privacy awareness/training program?*</v>
      </c>
      <c r="C82" s="52" t="str">
        <f>VLOOKUP($A82,Privacy!$A$13:$E$97,3,0)&amp;""</f>
        <v>NO</v>
      </c>
      <c r="D82" s="41" t="str">
        <f>IF(LEFT(VLOOKUP($A82,Privacy!$A$13:$E$97,5,0),21)='Auto Responses'!$A$73,'Auto Responses'!$A$74,VLOOKUP($A82,Privacy!$A$13:$E$97,4,0))&amp;""</f>
        <v>Privacy and security awareness are reviewed annually with all personnel who have access to customer data. Due to the company's small size and stable workforce, training is conducted internally and documented as part of operational procedures.</v>
      </c>
      <c r="E82" s="350" t="str">
        <f>VLOOKUP($A82,Privacy!$A$13:$E$97,5,0)&amp;""</f>
        <v>Describe plans to include data privacy training.</v>
      </c>
      <c r="F82" s="195"/>
      <c r="G82" s="37" t="str">
        <f>VLOOKUP($A82,Questions!$A$2:$X$333,21,0)&amp;""</f>
        <v>Yes</v>
      </c>
      <c r="H82" s="192"/>
      <c r="I82" s="52" t="str">
        <f>VLOOKUP($A82,Questions!$A$2:$X$333,23,0)&amp;""</f>
        <v>Critical Importance</v>
      </c>
      <c r="J82" s="192"/>
      <c r="K82" s="55" t="b">
        <v>0</v>
      </c>
      <c r="L82" s="1"/>
    </row>
    <row r="83" spans="1:12" s="36" customFormat="1" ht="48" customHeight="1">
      <c r="A83" s="25" t="s">
        <v>768</v>
      </c>
      <c r="B83" s="24" t="str">
        <f>VLOOKUP($A83,Questions!$A$2:$X$333,2,0)</f>
        <v>Is privacy awareness training mandatory for all employees?</v>
      </c>
      <c r="C83" s="52" t="str">
        <f>VLOOKUP($A83,Privacy!$A$13:$E$97,3,0)&amp;""</f>
        <v>YES</v>
      </c>
      <c r="D83" s="41" t="str">
        <f>IF(LEFT(VLOOKUP($A83,Privacy!$A$13:$E$97,5,0),21)='Auto Responses'!$A$73,'Auto Responses'!$A$74,VLOOKUP($A83,Privacy!$A$13:$E$97,4,0))&amp;""</f>
        <v>Privacy and security awareness are reviewed annually with all personnel who have access to customer data. Due to the company's small size and stable workforce, training is conducted internally and documented as part of operational procedures.</v>
      </c>
      <c r="E83" s="350" t="str">
        <f>VLOOKUP($A83,Privacy!$A$13:$E$97,5,0)&amp;""</f>
        <v>Summarize your privacy awareness training content and state how frequently employees are required to undergo privacy awareness training</v>
      </c>
      <c r="F83" s="195"/>
      <c r="G83" s="37" t="str">
        <f>VLOOKUP($A83,Questions!$A$2:$X$333,21,0)&amp;""</f>
        <v>Yes</v>
      </c>
      <c r="H83" s="192"/>
      <c r="I83" s="52" t="str">
        <f>VLOOKUP($A83,Questions!$A$2:$X$333,23,0)&amp;""</f>
        <v>Minor Importance</v>
      </c>
      <c r="J83" s="192"/>
      <c r="K83" s="55" t="b">
        <v>0</v>
      </c>
      <c r="L83" s="1"/>
    </row>
    <row r="84" spans="1:12" s="36" customFormat="1" ht="48" customHeight="1">
      <c r="A84" s="25" t="s">
        <v>772</v>
      </c>
      <c r="B84" s="24" t="str">
        <f>VLOOKUP($A84,Questions!$A$2:$X$333,2,0)</f>
        <v>Is AI privacy and ethics awareness/training required for all employees who work with AI?</v>
      </c>
      <c r="C84" s="52" t="str">
        <f>VLOOKUP($A84,Privacy!$A$13:$E$97,3,0)&amp;""</f>
        <v>Yes</v>
      </c>
      <c r="D84" s="41" t="e">
        <f>IF(LEFT(VLOOKUP($A84,Privacy!$A$13:$E$97,5,0),21)='Auto Responses'!$A$73,'Auto Responses'!$A$74,VLOOKUP($A84,Privacy!$A$13:$E$97,4,0))&amp;""</f>
        <v>#REF!</v>
      </c>
      <c r="E84" s="350" t="e">
        <f>VLOOKUP($A84,Privacy!$A$13:$E$97,5,0)&amp;""</f>
        <v>#REF!</v>
      </c>
      <c r="F84" s="195"/>
      <c r="G84" s="37" t="str">
        <f>VLOOKUP($A84,Questions!$A$2:$X$333,21,0)&amp;""</f>
        <v>Yes</v>
      </c>
      <c r="H84" s="192"/>
      <c r="I84" s="52" t="str">
        <f>VLOOKUP($A84,Questions!$A$2:$X$333,23,0)&amp;""</f>
        <v>Minor Importance</v>
      </c>
      <c r="J84" s="192"/>
      <c r="K84" s="55" t="b">
        <v>0</v>
      </c>
      <c r="L84" s="1"/>
    </row>
    <row r="85" spans="1:12" s="36" customFormat="1" ht="48" customHeight="1">
      <c r="A85" s="25" t="s">
        <v>775</v>
      </c>
      <c r="B85" s="24" t="str">
        <f>VLOOKUP($A85,Questions!$A$2:$X$333,2,0)</f>
        <v>Do you have any decision-making processes that are completely automated (i.e., there is no human involvement)?</v>
      </c>
      <c r="C85" s="52" t="str">
        <f>VLOOKUP($A85,Privacy!$A$13:$E$97,3,0)&amp;""</f>
        <v>no</v>
      </c>
      <c r="D85" s="41" t="str">
        <f>IF(LEFT(VLOOKUP($A85,Privacy!$A$13:$E$97,5,0),21)='Auto Responses'!$A$73,'Auto Responses'!$A$74,VLOOKUP($A85,Privacy!$A$13:$E$97,4,0))&amp;""</f>
        <v/>
      </c>
      <c r="E85" s="350" t="str">
        <f>VLOOKUP($A85,Privacy!$A$13:$E$97,5,0)&amp;""</f>
        <v/>
      </c>
      <c r="F85" s="195"/>
      <c r="G85" s="37" t="str">
        <f>VLOOKUP($A85,Questions!$A$2:$X$333,21,0)&amp;""</f>
        <v>No</v>
      </c>
      <c r="H85" s="192"/>
      <c r="I85" s="52" t="str">
        <f>VLOOKUP($A85,Questions!$A$2:$X$333,23,0)&amp;""</f>
        <v>Minor Importance</v>
      </c>
      <c r="J85" s="192"/>
      <c r="K85" s="55" t="b">
        <v>0</v>
      </c>
      <c r="L85" s="1"/>
    </row>
    <row r="86" spans="1:12" s="36" customFormat="1" ht="48" customHeight="1">
      <c r="A86" s="25" t="s">
        <v>777</v>
      </c>
      <c r="B86" s="24" t="str">
        <f>VLOOKUP($A86,Questions!$A$2:$X$333,2,0)</f>
        <v>Do you have a documented process for managing automated processing, including validations, monitoring, and data subject requests?</v>
      </c>
      <c r="C86" s="52" t="str">
        <f>VLOOKUP($A86,Privacy!$A$13:$E$97,3,0)&amp;""</f>
        <v>No</v>
      </c>
      <c r="D86" s="41" t="str">
        <f>IF(LEFT(VLOOKUP($A86,Privacy!$A$13:$E$97,5,0),21)='Auto Responses'!$A$73,'Auto Responses'!$A$74,VLOOKUP($A86,Privacy!$A$13:$E$97,4,0))&amp;""</f>
        <v/>
      </c>
      <c r="E86" s="350" t="str">
        <f>VLOOKUP($A86,Privacy!$A$13:$E$97,5,0)&amp;""</f>
        <v/>
      </c>
      <c r="F86" s="195"/>
      <c r="G86" s="37" t="str">
        <f>VLOOKUP($A86,Questions!$A$2:$X$333,21,0)&amp;""</f>
        <v>Yes</v>
      </c>
      <c r="H86" s="192"/>
      <c r="I86" s="52" t="str">
        <f>VLOOKUP($A86,Questions!$A$2:$X$333,23,0)&amp;""</f>
        <v>Minor Importance</v>
      </c>
      <c r="J86" s="192"/>
      <c r="K86" s="55" t="b">
        <v>0</v>
      </c>
      <c r="L86" s="1"/>
    </row>
    <row r="87" spans="1:12" s="36" customFormat="1" ht="48" customHeight="1">
      <c r="A87" s="25" t="s">
        <v>780</v>
      </c>
      <c r="B87" s="24" t="str">
        <f>VLOOKUP($A87,Questions!$A$2:$X$333,2,0)</f>
        <v>Do you have a documented policy for sharing information with law enforcement?</v>
      </c>
      <c r="C87" s="52" t="str">
        <f>VLOOKUP($A87,Privacy!$A$13:$E$97,3,0)&amp;""</f>
        <v>yes</v>
      </c>
      <c r="D87" s="41" t="str">
        <f>IF(LEFT(VLOOKUP($A87,Privacy!$A$13:$E$97,5,0),21)='Auto Responses'!$A$73,'Auto Responses'!$A$74,VLOOKUP($A87,Privacy!$A$13:$E$97,4,0))&amp;""</f>
        <v/>
      </c>
      <c r="E87" s="350" t="str">
        <f>VLOOKUP($A87,Privacy!$A$13:$E$97,5,0)&amp;""</f>
        <v/>
      </c>
      <c r="F87" s="195"/>
      <c r="G87" s="37" t="str">
        <f>VLOOKUP($A87,Questions!$A$2:$X$333,21,0)&amp;""</f>
        <v>Yes</v>
      </c>
      <c r="H87" s="192"/>
      <c r="I87" s="52" t="str">
        <f>VLOOKUP($A87,Questions!$A$2:$X$333,23,0)&amp;""</f>
        <v>Minor Importance</v>
      </c>
      <c r="J87" s="192"/>
      <c r="K87" s="55" t="b">
        <v>0</v>
      </c>
      <c r="L87" s="1"/>
    </row>
    <row r="88" spans="1:12" s="36" customFormat="1" ht="48" customHeight="1">
      <c r="A88" s="25" t="s">
        <v>783</v>
      </c>
      <c r="B88" s="24" t="str">
        <f>VLOOKUP($A88,Questions!$A$2:$X$333,2,0)</f>
        <v>Do you share any institutional data with law enforcement without a valid warrant?*</v>
      </c>
      <c r="C88" s="52" t="str">
        <f>VLOOKUP($A88,Privacy!$A$13:$E$97,3,0)&amp;""</f>
        <v>no</v>
      </c>
      <c r="D88" s="41" t="str">
        <f>IF(LEFT(VLOOKUP($A88,Privacy!$A$13:$E$97,5,0),21)='Auto Responses'!$A$73,'Auto Responses'!$A$74,VLOOKUP($A88,Privacy!$A$13:$E$97,4,0))&amp;""</f>
        <v/>
      </c>
      <c r="E88" s="350" t="str">
        <f>VLOOKUP($A88,Privacy!$A$13:$E$97,5,0)&amp;""</f>
        <v/>
      </c>
      <c r="F88" s="195"/>
      <c r="G88" s="37" t="str">
        <f>VLOOKUP($A88,Questions!$A$2:$X$333,21,0)&amp;""</f>
        <v>No</v>
      </c>
      <c r="H88" s="192"/>
      <c r="I88" s="52" t="str">
        <f>VLOOKUP($A88,Questions!$A$2:$X$333,23,0)&amp;""</f>
        <v>Critical Importance</v>
      </c>
      <c r="J88" s="192"/>
      <c r="K88" s="55" t="b">
        <v>0</v>
      </c>
      <c r="L88" s="1"/>
    </row>
    <row r="89" spans="1:12" s="36" customFormat="1" ht="48" customHeight="1">
      <c r="A89" s="25" t="s">
        <v>785</v>
      </c>
      <c r="B89" s="24" t="str">
        <f>VLOOKUP($A89,Questions!$A$2:$X$333,2,0)</f>
        <v>Does your incident response team include a privacy analyst/officer?</v>
      </c>
      <c r="C89" s="52" t="str">
        <f>VLOOKUP($A89,Privacy!$A$13:$E$97,3,0)&amp;""</f>
        <v>yes</v>
      </c>
      <c r="D89" s="41" t="str">
        <f>IF(LEFT(VLOOKUP($A89,Privacy!$A$13:$E$97,5,0),21)='Auto Responses'!$A$73,'Auto Responses'!$A$74,VLOOKUP($A89,Privacy!$A$13:$E$97,4,0))&amp;""</f>
        <v/>
      </c>
      <c r="E89" s="350" t="str">
        <f>VLOOKUP($A89,Privacy!$A$13:$E$97,5,0)&amp;""</f>
        <v/>
      </c>
      <c r="F89" s="195"/>
      <c r="G89" s="37" t="str">
        <f>VLOOKUP($A89,Questions!$A$2:$X$333,21,0)&amp;""</f>
        <v>Yes</v>
      </c>
      <c r="H89" s="192"/>
      <c r="I89" s="52" t="str">
        <f>VLOOKUP($A89,Questions!$A$2:$X$333,23,0)&amp;""</f>
        <v>Minor Importance</v>
      </c>
      <c r="J89" s="192"/>
      <c r="K89" s="55" t="b">
        <v>0</v>
      </c>
      <c r="L89" s="1"/>
    </row>
    <row r="90" spans="1:12" s="1" customFormat="1" ht="37.25" customHeight="1">
      <c r="A90" s="70" t="str">
        <f>VLOOKUP(LEFT($A91,4),'Auto Responses'!$N$4:$O$38,2,0)&amp;""</f>
        <v xml:space="preserve"> International Privacy</v>
      </c>
      <c r="B90" s="29"/>
      <c r="C90" s="38"/>
      <c r="D90" s="38"/>
      <c r="E90" s="351"/>
      <c r="F90" s="139" t="s">
        <v>1089</v>
      </c>
      <c r="G90" s="358" t="s">
        <v>925</v>
      </c>
      <c r="H90" s="358" t="s">
        <v>927</v>
      </c>
      <c r="I90" s="358" t="s">
        <v>19</v>
      </c>
      <c r="J90" s="358" t="s">
        <v>912</v>
      </c>
      <c r="K90" s="38"/>
    </row>
    <row r="91" spans="1:12" s="36" customFormat="1" ht="48" customHeight="1">
      <c r="A91" s="25" t="s">
        <v>787</v>
      </c>
      <c r="B91" s="24" t="str">
        <f>VLOOKUP($A91,Questions!$A$2:$X$333,2,0)</f>
        <v>Will data be collected from or processed in or stored in the European Economic Area (EEA)?</v>
      </c>
      <c r="C91" s="52" t="str">
        <f>VLOOKUP($A91,Privacy!$A$13:$E$97,3,0)&amp;""</f>
        <v>no</v>
      </c>
      <c r="D91" s="41" t="str">
        <f>IF(LEFT(VLOOKUP($A91,Privacy!$A$13:$E$97,5,0),21)='Auto Responses'!$A$73,'Auto Responses'!$A$74,VLOOKUP($A91,Privacy!$A$13:$E$97,4,0))&amp;""</f>
        <v/>
      </c>
      <c r="E91" s="350" t="str">
        <f>VLOOKUP($A91,Privacy!$A$13:$E$97,5,0)&amp;""</f>
        <v/>
      </c>
      <c r="F91" s="195"/>
      <c r="G91" s="37" t="str">
        <f>VLOOKUP($A91,Questions!$A$2:$X$333,21,0)&amp;""</f>
        <v>No</v>
      </c>
      <c r="H91" s="192"/>
      <c r="I91" s="52" t="str">
        <f>VLOOKUP($A91,Questions!$A$2:$X$333,23,0)&amp;""</f>
        <v>Standard Importance</v>
      </c>
      <c r="J91" s="192"/>
      <c r="K91" s="55" t="b">
        <v>0</v>
      </c>
      <c r="L91" s="1"/>
    </row>
    <row r="92" spans="1:12" s="36" customFormat="1" ht="48" customHeight="1">
      <c r="A92" s="25" t="s">
        <v>790</v>
      </c>
      <c r="B92" s="24" t="str">
        <f>VLOOKUP($A92,Questions!$A$2:$X$333,2,0)</f>
        <v>Do you have a data protection officer (DPO)?</v>
      </c>
      <c r="C92" s="52" t="str">
        <f>VLOOKUP($A92,Privacy!$A$13:$E$97,3,0)&amp;""</f>
        <v>no</v>
      </c>
      <c r="D92" s="41" t="str">
        <f>IF(LEFT(VLOOKUP($A92,Privacy!$A$13:$E$97,5,0),21)='Auto Responses'!$A$73,'Auto Responses'!$A$74,VLOOKUP($A92,Privacy!$A$13:$E$97,4,0))&amp;""</f>
        <v/>
      </c>
      <c r="E92" s="350" t="str">
        <f>VLOOKUP($A92,Privacy!$A$13:$E$97,5,0)&amp;""</f>
        <v/>
      </c>
      <c r="F92" s="195"/>
      <c r="G92" s="37" t="str">
        <f>VLOOKUP($A92,Questions!$A$2:$X$333,21,0)&amp;""</f>
        <v>Yes</v>
      </c>
      <c r="H92" s="192"/>
      <c r="I92" s="52" t="str">
        <f>VLOOKUP($A92,Questions!$A$2:$X$333,23,0)&amp;""</f>
        <v>Standard Importance</v>
      </c>
      <c r="J92" s="192"/>
      <c r="K92" s="55" t="b">
        <v>0</v>
      </c>
      <c r="L92" s="1"/>
    </row>
    <row r="93" spans="1:12" s="36" customFormat="1" ht="48" customHeight="1">
      <c r="A93" s="25" t="s">
        <v>792</v>
      </c>
      <c r="B93" s="24" t="str">
        <f>VLOOKUP($A93,Questions!$A$2:$X$333,2,0)</f>
        <v>Will you sign appropriate GDPR Standard Contractual Clauses (SCCs) with the institution?</v>
      </c>
      <c r="C93" s="52" t="str">
        <f>VLOOKUP($A93,Privacy!$A$13:$E$97,3,0)&amp;""</f>
        <v>no</v>
      </c>
      <c r="D93" s="41" t="str">
        <f>IF(LEFT(VLOOKUP($A93,Privacy!$A$13:$E$97,5,0),21)='Auto Responses'!$A$73,'Auto Responses'!$A$74,VLOOKUP($A93,Privacy!$A$13:$E$97,4,0))&amp;""</f>
        <v>TalEval is used exclusively by U.S.-based educational institutions and does not process data from EU students; therefore GDPR SCCs are not generally applicable. However, if required by a customer, ASC would review and consider signing appropriate SCCs on a case-by-case basis</v>
      </c>
      <c r="E93" s="350" t="str">
        <f>VLOOKUP($A93,Privacy!$A$13:$E$97,5,0)&amp;""</f>
        <v>Explain why.</v>
      </c>
      <c r="F93" s="195"/>
      <c r="G93" s="37" t="str">
        <f>VLOOKUP($A93,Questions!$A$2:$X$333,21,0)&amp;""</f>
        <v>Yes</v>
      </c>
      <c r="H93" s="192"/>
      <c r="I93" s="52" t="str">
        <f>VLOOKUP($A93,Questions!$A$2:$X$333,23,0)&amp;""</f>
        <v>Standard Importance</v>
      </c>
      <c r="J93" s="192"/>
      <c r="K93" s="55" t="b">
        <v>0</v>
      </c>
      <c r="L93" s="1"/>
    </row>
    <row r="94" spans="1:12" s="36" customFormat="1" ht="48" customHeight="1">
      <c r="A94" s="25" t="s">
        <v>794</v>
      </c>
      <c r="B94" s="24" t="str">
        <f>VLOOKUP($A94,Questions!$A$2:$X$333,2,0)</f>
        <v>Will data be collected from or processed in or stored in China?</v>
      </c>
      <c r="C94" s="52" t="str">
        <f>VLOOKUP($A94,Privacy!$A$13:$E$97,3,0)&amp;""</f>
        <v>no</v>
      </c>
      <c r="D94" s="41" t="str">
        <f>IF(LEFT(VLOOKUP($A94,Privacy!$A$13:$E$97,5,0),21)='Auto Responses'!$A$73,'Auto Responses'!$A$74,VLOOKUP($A94,Privacy!$A$13:$E$97,4,0))&amp;""</f>
        <v/>
      </c>
      <c r="E94" s="350" t="str">
        <f>VLOOKUP($A94,Privacy!$A$13:$E$97,5,0)&amp;""</f>
        <v/>
      </c>
      <c r="F94" s="195"/>
      <c r="G94" s="37" t="str">
        <f>VLOOKUP($A94,Questions!$A$2:$X$333,21,0)&amp;""</f>
        <v>No</v>
      </c>
      <c r="H94" s="192"/>
      <c r="I94" s="52" t="str">
        <f>VLOOKUP($A94,Questions!$A$2:$X$333,23,0)&amp;""</f>
        <v>Standard Importance</v>
      </c>
      <c r="J94" s="192"/>
      <c r="K94" s="55" t="b">
        <v>0</v>
      </c>
      <c r="L94" s="1"/>
    </row>
    <row r="95" spans="1:12" s="36" customFormat="1" ht="48" customHeight="1">
      <c r="A95" s="25" t="s">
        <v>797</v>
      </c>
      <c r="B95" s="24" t="str">
        <f>VLOOKUP($A95,Questions!$A$2:$X$333,2,0)</f>
        <v>Do you comply with PIPL security, privacy, and data localization requirements?</v>
      </c>
      <c r="C95" s="52" t="str">
        <f>VLOOKUP($A95,Privacy!$A$13:$E$97,3,0)&amp;""</f>
        <v>no</v>
      </c>
      <c r="D95" s="41" t="str">
        <f>IF(LEFT(VLOOKUP($A95,Privacy!$A$13:$E$97,5,0),21)='Auto Responses'!$A$73,'Auto Responses'!$A$74,VLOOKUP($A95,Privacy!$A$13:$E$97,4,0))&amp;""</f>
        <v>TalEval is used exclusively by U.S.-based educational institutions and does not collect or process personal information of individuals in China. ASC does not operate in China, and therefore PIPL security, privacy, and data localization requirements are not applicable</v>
      </c>
      <c r="E95" s="350" t="str">
        <f>VLOOKUP($A95,Privacy!$A$13:$E$97,5,0)&amp;""</f>
        <v>Explain why.</v>
      </c>
      <c r="F95" s="195"/>
      <c r="G95" s="37" t="str">
        <f>VLOOKUP($A95,Questions!$A$2:$X$333,21,0)&amp;""</f>
        <v>Yes</v>
      </c>
      <c r="H95" s="192"/>
      <c r="I95" s="52" t="str">
        <f>VLOOKUP($A95,Questions!$A$2:$X$333,23,0)&amp;""</f>
        <v>Standard Importance</v>
      </c>
      <c r="J95" s="192"/>
      <c r="K95" s="55" t="b">
        <v>0</v>
      </c>
      <c r="L95" s="1"/>
    </row>
    <row r="96" spans="1:12" s="1" customFormat="1" ht="37.25" customHeight="1">
      <c r="A96" s="70" t="str">
        <f>VLOOKUP(LEFT($A97,4),'Auto Responses'!$N$4:$O$38,2,0)&amp;""</f>
        <v xml:space="preserve"> Data Privacy</v>
      </c>
      <c r="B96" s="29"/>
      <c r="C96" s="38"/>
      <c r="D96" s="38"/>
      <c r="E96" s="351"/>
      <c r="F96" s="139" t="s">
        <v>1089</v>
      </c>
      <c r="G96" s="358" t="s">
        <v>925</v>
      </c>
      <c r="H96" s="358" t="s">
        <v>927</v>
      </c>
      <c r="I96" s="358" t="s">
        <v>19</v>
      </c>
      <c r="J96" s="358" t="s">
        <v>912</v>
      </c>
      <c r="K96" s="38"/>
    </row>
    <row r="97" spans="1:12" s="36" customFormat="1" ht="48" customHeight="1">
      <c r="A97" s="25" t="s">
        <v>1094</v>
      </c>
      <c r="B97" s="24" t="str">
        <f>VLOOKUP($A97,Questions!$A$2:$X$333,2,0)</f>
        <v>Have you performed a Data Privacy Impact Assesssment for the solution/project?</v>
      </c>
      <c r="C97" s="52" t="str">
        <f>VLOOKUP($A97,Privacy!$A$13:$E$97,3,0)&amp;""</f>
        <v>yes</v>
      </c>
      <c r="D97" s="41" t="str">
        <f>IF(LEFT(VLOOKUP($A97,Privacy!$A$13:$E$97,5,0),21)='Auto Responses'!$A$73,'Auto Responses'!$A$74,VLOOKUP($A97,Privacy!$A$13:$E$97,4,0))&amp;""</f>
        <v/>
      </c>
      <c r="E97" s="350" t="str">
        <f>VLOOKUP($A97,Privacy!$A$13:$E$97,5,0)&amp;""</f>
        <v/>
      </c>
      <c r="F97" s="195"/>
      <c r="G97" s="37" t="str">
        <f>VLOOKUP($A97,Questions!$A$2:$X$333,21,0)&amp;""</f>
        <v>Yes</v>
      </c>
      <c r="H97" s="192"/>
      <c r="I97" s="52" t="str">
        <f>VLOOKUP($A97,Questions!$A$2:$X$333,23,0)&amp;""</f>
        <v>Standard Importance</v>
      </c>
      <c r="J97" s="192"/>
      <c r="K97" s="55" t="b">
        <v>0</v>
      </c>
      <c r="L97" s="1"/>
    </row>
    <row r="98" spans="1:12" s="36" customFormat="1" ht="70.5" customHeight="1">
      <c r="A98" s="25" t="s">
        <v>1095</v>
      </c>
      <c r="B98" s="24" t="str">
        <f>VLOOKUP($A98,Questions!$A$2:$X$333,2,0)</f>
        <v>Do you provide an end-user privacy notice about privacy policies and procedures that identify the purpose(s) for which personal information is collected, used, retained, and disclosed?</v>
      </c>
      <c r="C98" s="52" t="str">
        <f>VLOOKUP($A98,Privacy!$A$13:$E$97,3,0)&amp;""</f>
        <v>yes</v>
      </c>
      <c r="D98" s="41" t="str">
        <f>IF(LEFT(VLOOKUP($A98,Privacy!$A$13:$E$97,5,0),21)='Auto Responses'!$A$73,'Auto Responses'!$A$74,VLOOKUP($A98,Privacy!$A$13:$E$97,4,0))&amp;""</f>
        <v/>
      </c>
      <c r="E98" s="350" t="str">
        <f>VLOOKUP($A98,Privacy!$A$13:$E$97,5,0)&amp;""</f>
        <v/>
      </c>
      <c r="F98" s="195"/>
      <c r="G98" s="37" t="str">
        <f>VLOOKUP($A98,Questions!$A$2:$X$333,21,0)&amp;""</f>
        <v>Yes</v>
      </c>
      <c r="H98" s="192"/>
      <c r="I98" s="52" t="str">
        <f>VLOOKUP($A98,Questions!$A$2:$X$333,23,0)&amp;""</f>
        <v>Standard Importance</v>
      </c>
      <c r="J98" s="192"/>
      <c r="K98" s="55" t="b">
        <v>0</v>
      </c>
      <c r="L98" s="1"/>
    </row>
    <row r="99" spans="1:12" s="36" customFormat="1" ht="65.25" customHeight="1">
      <c r="A99" s="25" t="s">
        <v>1096</v>
      </c>
      <c r="B99" s="24" t="str">
        <f>VLOOKUP($A99,Questions!$A$2:$X$333,2,0)</f>
        <v>Do you describe the choices available to the individual and obtain implicit or explicit consent with respect to the collection, use, and disclosure of personal information?</v>
      </c>
      <c r="C99" s="52" t="str">
        <f>VLOOKUP($A99,Privacy!$A$13:$E$97,3,0)&amp;""</f>
        <v>yes</v>
      </c>
      <c r="D99" s="41" t="str">
        <f>IF(LEFT(VLOOKUP($A99,Privacy!$A$13:$E$97,5,0),21)='Auto Responses'!$A$73,'Auto Responses'!$A$74,VLOOKUP($A99,Privacy!$A$13:$E$97,4,0))&amp;""</f>
        <v/>
      </c>
      <c r="E99" s="350" t="str">
        <f>VLOOKUP($A99,Privacy!$A$13:$E$97,5,0)&amp;""</f>
        <v/>
      </c>
      <c r="F99" s="195"/>
      <c r="G99" s="37" t="str">
        <f>VLOOKUP($A99,Questions!$A$2:$X$333,21,0)&amp;""</f>
        <v>Yes</v>
      </c>
      <c r="H99" s="192"/>
      <c r="I99" s="52" t="str">
        <f>VLOOKUP($A99,Questions!$A$2:$X$333,23,0)&amp;""</f>
        <v>Standard Importance</v>
      </c>
      <c r="J99" s="192"/>
      <c r="K99" s="55" t="b">
        <v>0</v>
      </c>
      <c r="L99" s="1"/>
    </row>
    <row r="100" spans="1:12" s="36" customFormat="1" ht="69.75" customHeight="1">
      <c r="A100" s="25" t="s">
        <v>1097</v>
      </c>
      <c r="B100" s="24" t="str">
        <f>VLOOKUP($A100,Questions!$A$2:$X$333,2,0)</f>
        <v>Do you collect personal information only for the purpose(s) identified in the agreement with an institution or, if there is none, the purpose(s) identified in the privacy notice?</v>
      </c>
      <c r="C100" s="52" t="str">
        <f>VLOOKUP($A100,Privacy!$A$13:$E$97,3,0)&amp;""</f>
        <v>yes</v>
      </c>
      <c r="D100" s="41" t="str">
        <f>IF(LEFT(VLOOKUP($A100,Privacy!$A$13:$E$97,5,0),21)='Auto Responses'!$A$73,'Auto Responses'!$A$74,VLOOKUP($A100,Privacy!$A$13:$E$97,4,0))&amp;""</f>
        <v/>
      </c>
      <c r="E100" s="350" t="str">
        <f>VLOOKUP($A100,Privacy!$A$13:$E$97,5,0)&amp;""</f>
        <v/>
      </c>
      <c r="F100" s="195"/>
      <c r="G100" s="37" t="str">
        <f>VLOOKUP($A100,Questions!$A$2:$X$333,21,0)&amp;""</f>
        <v>Yes</v>
      </c>
      <c r="H100" s="192"/>
      <c r="I100" s="52" t="str">
        <f>VLOOKUP($A100,Questions!$A$2:$X$333,23,0)&amp;""</f>
        <v>Standard Importance</v>
      </c>
      <c r="J100" s="192"/>
      <c r="K100" s="55" t="b">
        <v>0</v>
      </c>
      <c r="L100" s="1"/>
    </row>
    <row r="101" spans="1:12" s="36" customFormat="1" ht="48" customHeight="1">
      <c r="A101" s="25" t="s">
        <v>1098</v>
      </c>
      <c r="B101" s="24" t="str">
        <f>VLOOKUP($A101,Questions!$A$2:$X$333,2,0)</f>
        <v>Do you have a documented list of personal data your service maintains?</v>
      </c>
      <c r="C101" s="52" t="str">
        <f>VLOOKUP($A101,Privacy!$A$13:$E$97,3,0)&amp;""</f>
        <v>yes</v>
      </c>
      <c r="D101" s="41" t="str">
        <f>IF(LEFT(VLOOKUP($A101,Privacy!$A$13:$E$97,5,0),21)='Auto Responses'!$A$73,'Auto Responses'!$A$74,VLOOKUP($A101,Privacy!$A$13:$E$97,4,0))&amp;""</f>
        <v/>
      </c>
      <c r="E101" s="350" t="str">
        <f>VLOOKUP($A101,Privacy!$A$13:$E$97,5,0)&amp;""</f>
        <v/>
      </c>
      <c r="F101" s="195"/>
      <c r="G101" s="37" t="str">
        <f>VLOOKUP($A101,Questions!$A$2:$X$333,21,0)&amp;""</f>
        <v>Yes</v>
      </c>
      <c r="H101" s="192"/>
      <c r="I101" s="52" t="str">
        <f>VLOOKUP($A101,Questions!$A$2:$X$333,23,0)&amp;""</f>
        <v>Standard Importance</v>
      </c>
      <c r="J101" s="192"/>
      <c r="K101" s="55" t="b">
        <v>0</v>
      </c>
      <c r="L101" s="1"/>
    </row>
    <row r="102" spans="1:12" s="36" customFormat="1" ht="66.75" customHeight="1">
      <c r="A102" s="25" t="s">
        <v>1099</v>
      </c>
      <c r="B102" s="24" t="str">
        <f>VLOOKUP($A102,Questions!$A$2:$X$333,2,0)</f>
        <v>Do you retain personal information for only as long as necessary to fulfill the stated purpose(s) or as required by law or regulation and thereafter appropriately dispose of such information?</v>
      </c>
      <c r="C102" s="52" t="str">
        <f>VLOOKUP($A102,Privacy!$A$13:$E$97,3,0)&amp;""</f>
        <v>yes</v>
      </c>
      <c r="D102" s="41" t="str">
        <f>IF(LEFT(VLOOKUP($A102,Privacy!$A$13:$E$97,5,0),21)='Auto Responses'!$A$73,'Auto Responses'!$A$74,VLOOKUP($A102,Privacy!$A$13:$E$97,4,0))&amp;""</f>
        <v/>
      </c>
      <c r="E102" s="350" t="str">
        <f>VLOOKUP($A102,Privacy!$A$13:$E$97,5,0)&amp;""</f>
        <v/>
      </c>
      <c r="F102" s="195"/>
      <c r="G102" s="37" t="str">
        <f>VLOOKUP($A102,Questions!$A$2:$X$333,21,0)&amp;""</f>
        <v>Yes</v>
      </c>
      <c r="H102" s="192"/>
      <c r="I102" s="52" t="str">
        <f>VLOOKUP($A102,Questions!$A$2:$X$333,23,0)&amp;""</f>
        <v>Standard Importance</v>
      </c>
      <c r="J102" s="192"/>
      <c r="K102" s="55" t="b">
        <v>0</v>
      </c>
      <c r="L102" s="1"/>
    </row>
    <row r="103" spans="1:12" s="36" customFormat="1" ht="51" customHeight="1">
      <c r="A103" s="25" t="s">
        <v>1100</v>
      </c>
      <c r="B103" s="24" t="str">
        <f>VLOOKUP($A103,Questions!$A$2:$X$333,2,0)</f>
        <v>Do you provide individuals with access to their personal information for review and update (i.e., data subject rights)?</v>
      </c>
      <c r="C103" s="52" t="str">
        <f>VLOOKUP($A103,Privacy!$A$13:$E$97,3,0)&amp;""</f>
        <v>yes</v>
      </c>
      <c r="D103" s="41" t="str">
        <f>IF(LEFT(VLOOKUP($A103,Privacy!$A$13:$E$97,5,0),21)='Auto Responses'!$A$73,'Auto Responses'!$A$74,VLOOKUP($A103,Privacy!$A$13:$E$97,4,0))&amp;""</f>
        <v/>
      </c>
      <c r="E103" s="350" t="str">
        <f>VLOOKUP($A103,Privacy!$A$13:$E$97,5,0)&amp;""</f>
        <v/>
      </c>
      <c r="F103" s="195"/>
      <c r="G103" s="37" t="str">
        <f>VLOOKUP($A103,Questions!$A$2:$X$333,21,0)&amp;""</f>
        <v>Yes</v>
      </c>
      <c r="H103" s="192"/>
      <c r="I103" s="52" t="str">
        <f>VLOOKUP($A103,Questions!$A$2:$X$333,23,0)&amp;""</f>
        <v>Standard Importance</v>
      </c>
      <c r="J103" s="192"/>
      <c r="K103" s="55" t="b">
        <v>0</v>
      </c>
      <c r="L103" s="1"/>
    </row>
    <row r="104" spans="1:12" s="36" customFormat="1" ht="101.25" customHeight="1">
      <c r="A104" s="25" t="s">
        <v>1101</v>
      </c>
      <c r="B104" s="24" t="str">
        <f>VLOOKUP($A104,Questions!$A$2:$X$333,2,0)</f>
        <v>Do you disclose personal information to third parties only for the purpose(s) identified in the privacy notice or with the implicit or explicit consent of the individual?</v>
      </c>
      <c r="C104" s="52" t="str">
        <f>VLOOKUP($A104,Privacy!$A$13:$E$97,3,0)&amp;""</f>
        <v>yes</v>
      </c>
      <c r="D104" s="41" t="str">
        <f>IF(LEFT(VLOOKUP($A104,Privacy!$A$13:$E$97,5,0),21)='Auto Responses'!$A$73,'Auto Responses'!$A$74,VLOOKUP($A104,Privacy!$A$13:$E$97,4,0))&amp;""</f>
        <v/>
      </c>
      <c r="E104" s="350" t="str">
        <f>VLOOKUP($A104,Privacy!$A$13:$E$97,5,0)&amp;""</f>
        <v/>
      </c>
      <c r="F104" s="195"/>
      <c r="G104" s="37" t="str">
        <f>VLOOKUP($A104,Questions!$A$2:$X$333,21,0)&amp;""</f>
        <v>Yes</v>
      </c>
      <c r="H104" s="192"/>
      <c r="I104" s="52" t="str">
        <f>VLOOKUP($A104,Questions!$A$2:$X$333,23,0)&amp;""</f>
        <v>Standard Importance</v>
      </c>
      <c r="J104" s="192"/>
      <c r="K104" s="55" t="b">
        <v>0</v>
      </c>
      <c r="L104" s="1"/>
    </row>
    <row r="105" spans="1:12" s="36" customFormat="1" ht="48" customHeight="1">
      <c r="A105" s="25" t="s">
        <v>1102</v>
      </c>
      <c r="B105" s="24" t="str">
        <f>VLOOKUP($A105,Questions!$A$2:$X$333,2,0)</f>
        <v>Do you protect personal information against unauthorized access (both physical and logical)?</v>
      </c>
      <c r="C105" s="52" t="str">
        <f>VLOOKUP($A105,Privacy!$A$13:$E$97,3,0)&amp;""</f>
        <v>yes</v>
      </c>
      <c r="D105" s="41" t="str">
        <f>IF(LEFT(VLOOKUP($A105,Privacy!$A$13:$E$97,5,0),21)='Auto Responses'!$A$73,'Auto Responses'!$A$74,VLOOKUP($A105,Privacy!$A$13:$E$97,4,0))&amp;""</f>
        <v/>
      </c>
      <c r="E105" s="350" t="str">
        <f>VLOOKUP($A105,Privacy!$A$13:$E$97,5,0)&amp;""</f>
        <v/>
      </c>
      <c r="F105" s="195"/>
      <c r="G105" s="37" t="str">
        <f>VLOOKUP($A105,Questions!$A$2:$X$333,21,0)&amp;""</f>
        <v>Yes</v>
      </c>
      <c r="H105" s="192"/>
      <c r="I105" s="52" t="str">
        <f>VLOOKUP($A105,Questions!$A$2:$X$333,23,0)&amp;""</f>
        <v>Standard Importance</v>
      </c>
      <c r="J105" s="192"/>
      <c r="K105" s="55" t="b">
        <v>0</v>
      </c>
      <c r="L105" s="1"/>
    </row>
    <row r="106" spans="1:12" s="36" customFormat="1" ht="48" customHeight="1">
      <c r="A106" s="25" t="s">
        <v>1103</v>
      </c>
      <c r="B106" s="24" t="str">
        <f>VLOOKUP($A106,Questions!$A$2:$X$333,2,0)</f>
        <v>Do you maintain accurate, complete, and relevant personal information for the purposes identified in the privacy notice?</v>
      </c>
      <c r="C106" s="52" t="str">
        <f>VLOOKUP($A106,Privacy!$A$13:$E$97,3,0)&amp;""</f>
        <v>yes</v>
      </c>
      <c r="D106" s="41" t="str">
        <f>IF(LEFT(VLOOKUP($A106,Privacy!$A$13:$E$97,5,0),21)='Auto Responses'!$A$73,'Auto Responses'!$A$74,VLOOKUP($A106,Privacy!$A$13:$E$97,4,0))&amp;""</f>
        <v/>
      </c>
      <c r="E106" s="350" t="str">
        <f>VLOOKUP($A106,Privacy!$A$13:$E$97,5,0)&amp;""</f>
        <v/>
      </c>
      <c r="F106" s="195"/>
      <c r="G106" s="37" t="str">
        <f>VLOOKUP($A106,Questions!$A$2:$X$333,21,0)&amp;""</f>
        <v>Yes</v>
      </c>
      <c r="H106" s="192"/>
      <c r="I106" s="52" t="str">
        <f>VLOOKUP($A106,Questions!$A$2:$X$333,23,0)&amp;""</f>
        <v>Standard Importance</v>
      </c>
      <c r="J106" s="192"/>
      <c r="K106" s="55" t="b">
        <v>0</v>
      </c>
      <c r="L106" s="1"/>
    </row>
    <row r="107" spans="1:12" s="36" customFormat="1" ht="48" customHeight="1">
      <c r="A107" s="25" t="s">
        <v>1104</v>
      </c>
      <c r="B107" s="24" t="str">
        <f>VLOOKUP($A107,Questions!$A$2:$X$333,2,0)</f>
        <v>Do you have procedures to address privacy-related noncompliance complaints and disputes?</v>
      </c>
      <c r="C107" s="52" t="str">
        <f>VLOOKUP($A107,Privacy!$A$13:$E$97,3,0)&amp;""</f>
        <v>no</v>
      </c>
      <c r="D107" s="41" t="str">
        <f>IF(LEFT(VLOOKUP($A107,Privacy!$A$13:$E$97,5,0),21)='Auto Responses'!$A$73,'Auto Responses'!$A$74,VLOOKUP($A107,Privacy!$A$13:$E$97,4,0))&amp;""</f>
        <v/>
      </c>
      <c r="E107" s="350" t="str">
        <f>VLOOKUP($A107,Privacy!$A$13:$E$97,5,0)&amp;""</f>
        <v/>
      </c>
      <c r="F107" s="195"/>
      <c r="G107" s="37" t="str">
        <f>VLOOKUP($A107,Questions!$A$2:$X$333,21,0)&amp;""</f>
        <v>Yes</v>
      </c>
      <c r="H107" s="192"/>
      <c r="I107" s="52" t="str">
        <f>VLOOKUP($A107,Questions!$A$2:$X$333,23,0)&amp;""</f>
        <v>Standard Importance</v>
      </c>
      <c r="J107" s="192"/>
      <c r="K107" s="55" t="b">
        <v>0</v>
      </c>
      <c r="L107" s="1"/>
    </row>
    <row r="108" spans="1:12" s="36" customFormat="1" ht="48" customHeight="1">
      <c r="A108" s="25" t="s">
        <v>1105</v>
      </c>
      <c r="B108" s="24" t="str">
        <f>VLOOKUP($A108,Questions!$A$2:$X$333,2,0)</f>
        <v>Do you "anonymize," "de-identify," or otherwise mask personal data?</v>
      </c>
      <c r="C108" s="52" t="str">
        <f>VLOOKUP($A108,Privacy!$A$13:$E$97,3,0)&amp;""</f>
        <v>yes</v>
      </c>
      <c r="D108" s="41" t="str">
        <f>IF(LEFT(VLOOKUP($A108,Privacy!$A$13:$E$97,5,0),21)='Auto Responses'!$A$73,'Auto Responses'!$A$74,VLOOKUP($A108,Privacy!$A$13:$E$97,4,0))&amp;""</f>
        <v/>
      </c>
      <c r="E108" s="350" t="str">
        <f>VLOOKUP($A108,Privacy!$A$13:$E$97,5,0)&amp;""</f>
        <v/>
      </c>
      <c r="F108" s="195"/>
      <c r="G108" s="37" t="str">
        <f>VLOOKUP($A108,Questions!$A$2:$X$333,21,0)&amp;""</f>
        <v>Yes</v>
      </c>
      <c r="H108" s="192"/>
      <c r="I108" s="52" t="str">
        <f>VLOOKUP($A108,Questions!$A$2:$X$333,23,0)&amp;""</f>
        <v>Standard Importance</v>
      </c>
      <c r="J108" s="192"/>
      <c r="K108" s="55" t="b">
        <v>0</v>
      </c>
      <c r="L108" s="1"/>
    </row>
    <row r="109" spans="1:12" s="36" customFormat="1" ht="104.25" customHeight="1">
      <c r="A109" s="25" t="s">
        <v>1106</v>
      </c>
      <c r="B109" s="24" t="str">
        <f>VLOOKUP($A109,Questions!$A$2:$X$333,2,0)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109" s="52" t="str">
        <f>VLOOKUP($A109,Privacy!$A$13:$E$97,3,0)&amp;""</f>
        <v>no</v>
      </c>
      <c r="D109" s="41" t="str">
        <f>IF(LEFT(VLOOKUP($A109,Privacy!$A$13:$E$97,5,0),21)='Auto Responses'!$A$73,'Auto Responses'!$A$74,VLOOKUP($A109,Privacy!$A$13:$E$97,4,0))&amp;""</f>
        <v/>
      </c>
      <c r="E109" s="350" t="str">
        <f>VLOOKUP($A109,Privacy!$A$13:$E$97,5,0)&amp;""</f>
        <v/>
      </c>
      <c r="F109" s="195"/>
      <c r="G109" s="37" t="str">
        <f>VLOOKUP($A109,Questions!$A$2:$X$333,21,0)&amp;""</f>
        <v>No</v>
      </c>
      <c r="H109" s="192"/>
      <c r="I109" s="52" t="str">
        <f>VLOOKUP($A109,Questions!$A$2:$X$333,23,0)&amp;""</f>
        <v>Standard Importance</v>
      </c>
      <c r="J109" s="192"/>
      <c r="K109" s="55" t="b">
        <v>0</v>
      </c>
      <c r="L109" s="1"/>
    </row>
    <row r="110" spans="1:12" s="36" customFormat="1" ht="48" customHeight="1">
      <c r="A110" s="25" t="s">
        <v>1107</v>
      </c>
      <c r="B110" s="24" t="str">
        <f>VLOOKUP($A110,Questions!$A$2:$X$333,2,0)</f>
        <v>Do you certify stop-processing requests, including any data that is processed by a third party on your behalf?</v>
      </c>
      <c r="C110" s="52" t="str">
        <f>VLOOKUP($A110,Privacy!$A$13:$E$97,3,0)&amp;""</f>
        <v>yes</v>
      </c>
      <c r="D110" s="41" t="str">
        <f>IF(LEFT(VLOOKUP($A110,Privacy!$A$13:$E$97,5,0),21)='Auto Responses'!$A$73,'Auto Responses'!$A$74,VLOOKUP($A110,Privacy!$A$13:$E$97,4,0))&amp;""</f>
        <v/>
      </c>
      <c r="E110" s="350" t="str">
        <f>VLOOKUP($A110,Privacy!$A$13:$E$97,5,0)&amp;""</f>
        <v/>
      </c>
      <c r="F110" s="195"/>
      <c r="G110" s="37" t="str">
        <f>VLOOKUP($A110,Questions!$A$2:$X$333,21,0)&amp;""</f>
        <v>Yes</v>
      </c>
      <c r="H110" s="192"/>
      <c r="I110" s="52" t="str">
        <f>VLOOKUP($A110,Questions!$A$2:$X$333,23,0)&amp;""</f>
        <v>Standard Importance</v>
      </c>
      <c r="J110" s="192"/>
      <c r="K110" s="55" t="b">
        <v>0</v>
      </c>
      <c r="L110" s="1"/>
    </row>
    <row r="111" spans="1:12" s="36" customFormat="1" ht="48" customHeight="1">
      <c r="A111" s="25" t="s">
        <v>1108</v>
      </c>
      <c r="B111" s="24" t="str">
        <f>VLOOKUP($A111,Questions!$A$2:$X$333,2,0)</f>
        <v>Do you have a process to review code for ethical considerations?</v>
      </c>
      <c r="C111" s="52" t="str">
        <f>VLOOKUP($A111,Privacy!$A$13:$E$97,3,0)&amp;""</f>
        <v>yes</v>
      </c>
      <c r="D111" s="41" t="str">
        <f>IF(LEFT(VLOOKUP($A111,Privacy!$A$13:$E$97,5,0),21)='Auto Responses'!$A$73,'Auto Responses'!$A$74,VLOOKUP($A111,Privacy!$A$13:$E$97,4,0))&amp;""</f>
        <v/>
      </c>
      <c r="E111" s="350" t="str">
        <f>VLOOKUP($A111,Privacy!$A$13:$E$97,5,0)&amp;""</f>
        <v/>
      </c>
      <c r="F111" s="195"/>
      <c r="G111" s="37" t="str">
        <f>VLOOKUP($A111,Questions!$A$2:$X$333,21,0)&amp;""</f>
        <v>Yes</v>
      </c>
      <c r="H111" s="192"/>
      <c r="I111" s="52" t="str">
        <f>VLOOKUP($A111,Questions!$A$2:$X$333,23,0)&amp;""</f>
        <v>Standard Importance</v>
      </c>
      <c r="J111" s="192"/>
      <c r="K111" s="55" t="b">
        <v>0</v>
      </c>
      <c r="L111" s="1"/>
    </row>
    <row r="112" spans="1:12" s="1" customFormat="1" ht="37.25" customHeight="1">
      <c r="A112" s="70" t="str">
        <f>VLOOKUP(LEFT($A113,4),'Auto Responses'!$N$4:$O$38,2,0)&amp;""</f>
        <v xml:space="preserve"> Privacy and AI</v>
      </c>
      <c r="B112" s="29"/>
      <c r="C112" s="38"/>
      <c r="D112" s="38"/>
      <c r="E112" s="351"/>
      <c r="F112" s="139" t="s">
        <v>1089</v>
      </c>
      <c r="G112" s="358" t="s">
        <v>925</v>
      </c>
      <c r="H112" s="358" t="s">
        <v>927</v>
      </c>
      <c r="I112" s="358" t="s">
        <v>19</v>
      </c>
      <c r="J112" s="358" t="s">
        <v>912</v>
      </c>
      <c r="K112" s="38"/>
    </row>
    <row r="113" spans="1:12" s="36" customFormat="1" ht="48" customHeight="1">
      <c r="A113" s="25" t="s">
        <v>1109</v>
      </c>
      <c r="B113" s="24" t="str">
        <f>VLOOKUP($A113,Questions!$A$2:$X$333,2,0)</f>
        <v>Does your service use AI for the processing of institutional data?</v>
      </c>
      <c r="C113" s="52" t="str">
        <f>VLOOKUP($A113,Privacy!$A$13:$E$97,3,0)&amp;""</f>
        <v/>
      </c>
      <c r="D113" s="41" t="str">
        <f>IF(LEFT(VLOOKUP($A113,Privacy!$A$13:$E$97,5,0),21)='Auto Responses'!$A$73,'Auto Responses'!$A$74,VLOOKUP($A113,Privacy!$A$13:$E$97,4,0))&amp;""</f>
        <v/>
      </c>
      <c r="E113" s="350" t="str">
        <f>VLOOKUP($A113,Privacy!$A$13:$E$97,5,0)&amp;""</f>
        <v>Based on the response to REQU-04 on the "START HERE" tab, this question does not apply to this product or service.</v>
      </c>
      <c r="F113" s="195"/>
      <c r="G113" s="37" t="str">
        <f>VLOOKUP($A113,Questions!$A$2:$X$333,21,0)&amp;""</f>
        <v>No</v>
      </c>
      <c r="H113" s="192"/>
      <c r="I113" s="52" t="str">
        <f>VLOOKUP($A113,Questions!$A$2:$X$333,23,0)&amp;""</f>
        <v>Standard Importance</v>
      </c>
      <c r="J113" s="192"/>
      <c r="K113" s="55" t="b">
        <v>0</v>
      </c>
      <c r="L113" s="1"/>
    </row>
    <row r="114" spans="1:12" s="36" customFormat="1" ht="48" customHeight="1">
      <c r="A114" s="25" t="s">
        <v>1110</v>
      </c>
      <c r="B114" s="24" t="str">
        <f>VLOOKUP($A114,Questions!$A$2:$X$333,2,0)</f>
        <v>Is any institutional data retained in AI processing?*</v>
      </c>
      <c r="C114" s="52" t="str">
        <f>VLOOKUP($A114,Privacy!$A$13:$E$97,3,0)&amp;""</f>
        <v/>
      </c>
      <c r="D114" s="41" t="str">
        <f>IF(LEFT(VLOOKUP($A114,Privacy!$A$13:$E$97,5,0),21)='Auto Responses'!$A$73,'Auto Responses'!$A$74,VLOOKUP($A114,Privacy!$A$13:$E$97,4,0))&amp;""</f>
        <v/>
      </c>
      <c r="E114" s="350" t="str">
        <f>VLOOKUP($A114,Privacy!$A$13:$E$97,5,0)&amp;""</f>
        <v>Based on the response to REQU-04 on the "START HERE" tab, this question does not apply to this product or service.</v>
      </c>
      <c r="F114" s="195"/>
      <c r="G114" s="37" t="str">
        <f>VLOOKUP($A114,Questions!$A$2:$X$333,21,0)&amp;""</f>
        <v>No</v>
      </c>
      <c r="H114" s="192"/>
      <c r="I114" s="52" t="str">
        <f>VLOOKUP($A114,Questions!$A$2:$X$333,23,0)&amp;""</f>
        <v>Critical Importance</v>
      </c>
      <c r="J114" s="192"/>
      <c r="K114" s="55" t="b">
        <v>0</v>
      </c>
      <c r="L114" s="1"/>
    </row>
    <row r="115" spans="1:12" s="36" customFormat="1" ht="48" customHeight="1">
      <c r="A115" s="25" t="s">
        <v>808</v>
      </c>
      <c r="B115" s="24" t="str">
        <f>VLOOKUP($A115,Questions!$A$2:$X$333,2,0)</f>
        <v>Do you have agreements in place with third parties or subprocessors regarding the protection of customer data and use of AI?*</v>
      </c>
      <c r="C115" s="52" t="str">
        <f>VLOOKUP($A115,Privacy!$A$13:$E$97,3,0)&amp;""</f>
        <v/>
      </c>
      <c r="D115" s="41" t="str">
        <f>IF(LEFT(VLOOKUP($A115,Privacy!$A$13:$E$97,5,0),21)='Auto Responses'!$A$73,'Auto Responses'!$A$74,VLOOKUP($A115,Privacy!$A$13:$E$97,4,0))&amp;""</f>
        <v/>
      </c>
      <c r="E115" s="350" t="str">
        <f>VLOOKUP($A115,Privacy!$A$13:$E$97,5,0)&amp;""</f>
        <v>Based on the response to REQU-04 on the "START HERE" tab, this question does not apply to this product or service.</v>
      </c>
      <c r="F115" s="195"/>
      <c r="G115" s="37" t="str">
        <f>VLOOKUP($A115,Questions!$A$2:$X$333,21,0)&amp;""</f>
        <v>Yes</v>
      </c>
      <c r="H115" s="192"/>
      <c r="I115" s="52" t="str">
        <f>VLOOKUP($A115,Questions!$A$2:$X$333,23,0)&amp;""</f>
        <v>Critical Importance</v>
      </c>
      <c r="J115" s="192"/>
      <c r="K115" s="55" t="b">
        <v>0</v>
      </c>
      <c r="L115" s="1"/>
    </row>
    <row r="116" spans="1:12" s="36" customFormat="1" ht="48" customHeight="1">
      <c r="A116" s="25" t="s">
        <v>810</v>
      </c>
      <c r="B116" s="24" t="str">
        <f>VLOOKUP($A116,Questions!$A$2:$X$333,2,0)</f>
        <v>Will institutional data be processed through a third party or subprocessor that also uses AI?</v>
      </c>
      <c r="C116" s="52" t="str">
        <f>VLOOKUP($A116,Privacy!$A$13:$E$97,3,0)&amp;""</f>
        <v/>
      </c>
      <c r="D116" s="41" t="str">
        <f>IF(LEFT(VLOOKUP($A116,Privacy!$A$13:$E$97,5,0),21)='Auto Responses'!$A$73,'Auto Responses'!$A$74,VLOOKUP($A116,Privacy!$A$13:$E$97,4,0))&amp;""</f>
        <v/>
      </c>
      <c r="E116" s="350" t="str">
        <f>VLOOKUP($A116,Privacy!$A$13:$E$97,5,0)&amp;""</f>
        <v>Based on the response to REQU-04 on the "START HERE" tab, this question does not apply to this product or service.</v>
      </c>
      <c r="F116" s="195"/>
      <c r="G116" s="37" t="str">
        <f>VLOOKUP($A116,Questions!$A$2:$X$333,21,0)&amp;""</f>
        <v>No</v>
      </c>
      <c r="H116" s="192"/>
      <c r="I116" s="52" t="str">
        <f>VLOOKUP($A116,Questions!$A$2:$X$333,23,0)&amp;""</f>
        <v>Standard Importance</v>
      </c>
      <c r="J116" s="192"/>
      <c r="K116" s="55" t="b">
        <v>0</v>
      </c>
      <c r="L116" s="1"/>
    </row>
    <row r="117" spans="1:12" s="36" customFormat="1" ht="48" customHeight="1">
      <c r="A117" s="25" t="s">
        <v>811</v>
      </c>
      <c r="B117" s="24" t="str">
        <f>VLOOKUP($A117,Questions!$A$2:$X$333,2,0)</f>
        <v>Is AI processing limited to fully licensed commercial enterprise AI services?</v>
      </c>
      <c r="C117" s="52" t="str">
        <f>VLOOKUP($A117,Privacy!$A$13:$E$97,3,0)&amp;""</f>
        <v/>
      </c>
      <c r="D117" s="41" t="str">
        <f>IF(LEFT(VLOOKUP($A117,Privacy!$A$13:$E$97,5,0),21)='Auto Responses'!$A$73,'Auto Responses'!$A$74,VLOOKUP($A117,Privacy!$A$13:$E$97,4,0))&amp;""</f>
        <v/>
      </c>
      <c r="E117" s="350" t="str">
        <f>VLOOKUP($A117,Privacy!$A$13:$E$97,5,0)&amp;""</f>
        <v>Based on the response to REQU-04 on the "START HERE" tab, this question does not apply to this product or service.</v>
      </c>
      <c r="F117" s="195"/>
      <c r="G117" s="37" t="str">
        <f>VLOOKUP($A117,Questions!$A$2:$X$333,21,0)&amp;""</f>
        <v>Yes</v>
      </c>
      <c r="H117" s="192"/>
      <c r="I117" s="52" t="str">
        <f>VLOOKUP($A117,Questions!$A$2:$X$333,23,0)&amp;""</f>
        <v>Minor Importance</v>
      </c>
      <c r="J117" s="192"/>
      <c r="K117" s="55" t="b">
        <v>0</v>
      </c>
      <c r="L117" s="1"/>
    </row>
    <row r="118" spans="1:12" s="36" customFormat="1" ht="48" customHeight="1">
      <c r="A118" s="25" t="s">
        <v>813</v>
      </c>
      <c r="B118" s="24" t="str">
        <f>VLOOKUP($A118,Questions!$A$2:$X$333,2,0)</f>
        <v>Will institutional data be used or processed by any shared AI services?</v>
      </c>
      <c r="C118" s="52" t="str">
        <f>VLOOKUP($A118,Privacy!$A$13:$E$97,3,0)&amp;""</f>
        <v/>
      </c>
      <c r="D118" s="41" t="str">
        <f>IF(LEFT(VLOOKUP($A118,Privacy!$A$13:$E$97,5,0),21)='Auto Responses'!$A$73,'Auto Responses'!$A$74,VLOOKUP($A118,Privacy!$A$13:$E$97,4,0))&amp;""</f>
        <v/>
      </c>
      <c r="E118" s="350" t="str">
        <f>VLOOKUP($A118,Privacy!$A$13:$E$97,5,0)&amp;""</f>
        <v>Based on the response to REQU-04 on the "START HERE" tab, this question does not apply to this product or service.</v>
      </c>
      <c r="F118" s="195"/>
      <c r="G118" s="37" t="str">
        <f>VLOOKUP($A118,Questions!$A$2:$X$333,21,0)&amp;""</f>
        <v>No</v>
      </c>
      <c r="H118" s="192"/>
      <c r="I118" s="52" t="str">
        <f>VLOOKUP($A118,Questions!$A$2:$X$333,23,0)&amp;""</f>
        <v>Minor Importance</v>
      </c>
      <c r="J118" s="192"/>
      <c r="K118" s="55" t="b">
        <v>0</v>
      </c>
      <c r="L118" s="1"/>
    </row>
    <row r="119" spans="1:12" s="36" customFormat="1" ht="48" customHeight="1">
      <c r="A119" s="25" t="s">
        <v>814</v>
      </c>
      <c r="B119" s="24" t="str">
        <f>VLOOKUP($A119,Questions!$A$2:$X$333,2,0)</f>
        <v>Do you have safeguards in place to protect institutional data and data privacy from unintended AI queries or processing?</v>
      </c>
      <c r="C119" s="52" t="str">
        <f>VLOOKUP($A119,Privacy!$A$13:$E$97,3,0)&amp;""</f>
        <v/>
      </c>
      <c r="D119" s="41" t="str">
        <f>IF(LEFT(VLOOKUP($A119,Privacy!$A$13:$E$97,5,0),21)='Auto Responses'!$A$73,'Auto Responses'!$A$74,VLOOKUP($A119,Privacy!$A$13:$E$97,4,0))&amp;""</f>
        <v/>
      </c>
      <c r="E119" s="350" t="str">
        <f>VLOOKUP($A119,Privacy!$A$13:$E$97,5,0)&amp;""</f>
        <v>Based on the response to REQU-04 on the "START HERE" tab, this question does not apply to this product or service.</v>
      </c>
      <c r="F119" s="195"/>
      <c r="G119" s="37" t="str">
        <f>VLOOKUP($A119,Questions!$A$2:$X$333,21,0)&amp;""</f>
        <v>Yes</v>
      </c>
      <c r="H119" s="192"/>
      <c r="I119" s="52" t="str">
        <f>VLOOKUP($A119,Questions!$A$2:$X$333,23,0)&amp;""</f>
        <v>Minor Importance</v>
      </c>
      <c r="J119" s="192"/>
      <c r="K119" s="55" t="b">
        <v>0</v>
      </c>
      <c r="L119" s="1"/>
    </row>
    <row r="120" spans="1:12" s="36" customFormat="1" ht="48" customHeight="1">
      <c r="A120" s="25" t="s">
        <v>815</v>
      </c>
      <c r="B120" s="24" t="str">
        <f>VLOOKUP($A120,Questions!$A$2:$X$333,2,0)</f>
        <v>Do you provide choice to the user to opt out of AI use?</v>
      </c>
      <c r="C120" s="52" t="str">
        <f>VLOOKUP($A120,Privacy!$A$13:$E$97,3,0)&amp;""</f>
        <v/>
      </c>
      <c r="D120" s="41" t="str">
        <f>IF(LEFT(VLOOKUP($A120,Privacy!$A$13:$E$97,5,0),21)='Auto Responses'!$A$73,'Auto Responses'!$A$74,VLOOKUP($A120,Privacy!$A$13:$E$97,4,0))&amp;""</f>
        <v/>
      </c>
      <c r="E120" s="350" t="str">
        <f>VLOOKUP($A120,Privacy!$A$13:$E$97,5,0)&amp;""</f>
        <v>Based on the response to REQU-04 on the "START HERE" tab, this question does not apply to this product or service.</v>
      </c>
      <c r="F120" s="195"/>
      <c r="G120" s="37" t="str">
        <f>VLOOKUP($A120,Questions!$A$2:$X$333,21,0)&amp;""</f>
        <v>Yes</v>
      </c>
      <c r="H120" s="192"/>
      <c r="I120" s="52" t="str">
        <f>VLOOKUP($A120,Questions!$A$2:$X$333,23,0)&amp;""</f>
        <v>Minor Importance</v>
      </c>
      <c r="J120" s="192"/>
      <c r="K120" s="55" t="b">
        <v>0</v>
      </c>
      <c r="L120" s="1"/>
    </row>
    <row r="121" spans="1:12" ht="15" customHeight="1"/>
    <row r="122" spans="1:12" ht="15" customHeight="1"/>
    <row r="123" spans="1:12" s="1" customFormat="1" ht="37.25" customHeight="1" thickBot="1">
      <c r="A123" s="225" t="s">
        <v>1594</v>
      </c>
      <c r="B123" s="226"/>
      <c r="C123" s="227"/>
      <c r="D123" s="227"/>
      <c r="E123" s="227"/>
      <c r="F123" s="228"/>
      <c r="G123" s="227"/>
      <c r="H123" s="227"/>
      <c r="I123" s="227"/>
      <c r="J123" s="227"/>
      <c r="K123" s="227"/>
    </row>
    <row r="124" spans="1:12" s="36" customFormat="1" ht="48" customHeight="1" thickBot="1">
      <c r="A124" s="33" t="s">
        <v>907</v>
      </c>
      <c r="B124" s="34" t="s">
        <v>1</v>
      </c>
      <c r="C124" s="34" t="s">
        <v>908</v>
      </c>
      <c r="D124" s="35" t="s">
        <v>72</v>
      </c>
      <c r="E124" s="34" t="s">
        <v>904</v>
      </c>
      <c r="F124" s="194" t="s">
        <v>905</v>
      </c>
      <c r="G124" s="53" t="s">
        <v>925</v>
      </c>
      <c r="H124" s="50" t="s">
        <v>927</v>
      </c>
      <c r="I124" s="50" t="s">
        <v>19</v>
      </c>
      <c r="J124" s="51" t="s">
        <v>912</v>
      </c>
      <c r="K124" s="54" t="s">
        <v>923</v>
      </c>
      <c r="L124" s="1"/>
    </row>
    <row r="125" spans="1:12" s="1" customFormat="1" ht="18">
      <c r="A125" s="70" t="str">
        <f>VLOOKUP(LEFT($A126,4),'Auto Responses'!$N$4:$O$38,2,0)&amp;""</f>
        <v xml:space="preserve"> Company Information</v>
      </c>
      <c r="B125" s="29"/>
      <c r="C125" s="38"/>
      <c r="D125" s="38"/>
      <c r="E125" s="38"/>
      <c r="F125" s="139" t="s">
        <v>1089</v>
      </c>
      <c r="G125" s="38"/>
      <c r="H125" s="38"/>
      <c r="I125" s="38"/>
      <c r="J125" s="38"/>
      <c r="K125" s="38"/>
    </row>
    <row r="126" spans="1:12" s="36" customFormat="1" ht="204">
      <c r="A126" s="25" t="s">
        <v>35</v>
      </c>
      <c r="B126" s="24" t="str">
        <f>VLOOKUP($A126,Questions!$A$2:$X$333,2,0)</f>
        <v>Do you have a dedicated software and system development team(s) (e.g., customer support, implementation, product management, etc.)?*</v>
      </c>
      <c r="C126" s="52" t="str">
        <f>VLOOKUP($A126,'Institution Evaluation'!$A$56:$K$346,3,0)&amp;""</f>
        <v>yes</v>
      </c>
      <c r="D126" s="52" t="str">
        <f>VLOOKUP($A126,'Institution Evaluation'!$A$56:$K$346,4,0)&amp;""</f>
        <v>2 customer support, 1 programmer, all infrastructure is hosted with Liquid Web LLC, a professional data center provider with SOC 2 certification and audited security controls. This ensures that hosting, network, and hardware security are managed to industry standards</v>
      </c>
      <c r="E126" s="350" t="str">
        <f>VLOOKUP($A126,'Institution Evaluation'!$A$56:$K$346,5,0)&amp;""</f>
        <v>Describe the structure and size of your software and system development teams. (e.g., customer support, implementation, product management, etc.).</v>
      </c>
      <c r="F126" s="195" t="str">
        <f>VLOOKUP($A126,'Institution Evaluation'!$A$56:$K$346,6,0)&amp;""</f>
        <v/>
      </c>
      <c r="G126" s="37" t="str">
        <f>VLOOKUP($A126,'Institution Evaluation'!$A$56:$K$346,7,0)&amp;""</f>
        <v>Yes</v>
      </c>
      <c r="H126" s="192" t="str">
        <f>VLOOKUP($A126,'Institution Evaluation'!$A$56:$K$346,8,0)&amp;""</f>
        <v/>
      </c>
      <c r="I126" s="52" t="str">
        <f>VLOOKUP($A126,'Institution Evaluation'!$A$56:$K$346,9,0)&amp;""</f>
        <v>Critical Importance</v>
      </c>
      <c r="J126" s="193" t="str">
        <f>VLOOKUP($A126,'Institution Evaluation'!$A$56:$K$346,10,0)&amp;""</f>
        <v/>
      </c>
      <c r="K126" s="55" t="str">
        <f>IF(VLOOKUP($A126,'Institution Evaluation'!$A$56:$K$346,10,0)=TRUE,"Yes","")</f>
        <v/>
      </c>
      <c r="L126" s="55" t="str">
        <f>IF(VLOOKUP($A126,'Institution Evaluation'!$A$56:$K$346,10,0)=TRUE,"Yes","")</f>
        <v/>
      </c>
    </row>
    <row r="127" spans="1:12" ht="85">
      <c r="A127" s="25" t="s">
        <v>42</v>
      </c>
      <c r="B127" s="24" t="str">
        <f>VLOOKUP($A127,Questions!$A$2:$X$333,2,0)</f>
        <v>Describe your organization’s business background and ownership structure, including all parent and subsidiary relationships.</v>
      </c>
      <c r="C127" s="52" t="str">
        <f>VLOOKUP($A127,'Institution Evaluation'!$A$56:$K$346,3,0)&amp;""</f>
        <v/>
      </c>
      <c r="D127" s="52" t="str">
        <f>VLOOKUP($A127,'Institution Evaluation'!$A$56:$K$346,4,0)&amp;""</f>
        <v>Design and provide higher education software since 1996 in U.S.A</v>
      </c>
      <c r="E127" s="350" t="str">
        <f>VLOOKUP($A127,'Institution Evaluation'!$A$56:$K$346,5,0)&amp;""</f>
        <v>Include circumstances that may involve offshoring or multinational agreements.</v>
      </c>
      <c r="F127" s="195" t="str">
        <f>VLOOKUP($A127,'Institution Evaluation'!$A$56:$K$346,6,0)&amp;""</f>
        <v/>
      </c>
      <c r="G127" s="37" t="str">
        <f>VLOOKUP($A127,'Institution Evaluation'!$A$56:$K$346,7,0)&amp;""</f>
        <v>Not scored</v>
      </c>
      <c r="H127" s="192" t="str">
        <f>VLOOKUP($A127,'Institution Evaluation'!$A$56:$K$346,8,0)&amp;""</f>
        <v/>
      </c>
      <c r="I127" s="52" t="str">
        <f>VLOOKUP($A127,'Institution Evaluation'!$A$56:$K$346,9,0)&amp;""</f>
        <v>Minor Importance</v>
      </c>
      <c r="J127" s="193" t="str">
        <f>VLOOKUP($A127,'Institution Evaluation'!$A$56:$K$346,10,0)&amp;""</f>
        <v/>
      </c>
      <c r="K127" s="55" t="str">
        <f>IF(VLOOKUP($A127,'Institution Evaluation'!$A$56:$K$346,10,0)=TRUE,"Yes","")</f>
        <v/>
      </c>
    </row>
    <row r="128" spans="1:12" ht="30">
      <c r="A128" s="25" t="s">
        <v>44</v>
      </c>
      <c r="B128" s="24" t="str">
        <f>VLOOKUP($A128,Questions!$A$2:$X$333,2,0)</f>
        <v>Have you operated without unplanned disruptions to this solution in the past 12 months?</v>
      </c>
      <c r="C128" s="52" t="str">
        <f>VLOOKUP($A128,'Institution Evaluation'!$A$56:$K$346,3,0)&amp;""</f>
        <v>yes</v>
      </c>
      <c r="D128" s="52" t="str">
        <f>VLOOKUP($A128,'Institution Evaluation'!$A$56:$K$346,4,0)&amp;""</f>
        <v/>
      </c>
      <c r="E128" s="350" t="str">
        <f>VLOOKUP($A128,'Institution Evaluation'!$A$56:$K$346,5,0)&amp;""</f>
        <v/>
      </c>
      <c r="F128" s="195" t="str">
        <f>VLOOKUP($A128,'Institution Evaluation'!$A$56:$K$346,6,0)&amp;""</f>
        <v/>
      </c>
      <c r="G128" s="37" t="str">
        <f>VLOOKUP($A128,'Institution Evaluation'!$A$56:$K$346,7,0)&amp;""</f>
        <v>Yes</v>
      </c>
      <c r="H128" s="192" t="str">
        <f>VLOOKUP($A128,'Institution Evaluation'!$A$56:$K$346,8,0)&amp;""</f>
        <v/>
      </c>
      <c r="I128" s="52" t="str">
        <f>VLOOKUP($A128,'Institution Evaluation'!$A$56:$K$346,9,0)&amp;""</f>
        <v>Minor Importance</v>
      </c>
      <c r="J128" s="193" t="str">
        <f>VLOOKUP($A128,'Institution Evaluation'!$A$56:$K$346,10,0)&amp;""</f>
        <v/>
      </c>
      <c r="K128" s="55" t="str">
        <f>IF(VLOOKUP($A128,'Institution Evaluation'!$A$56:$K$346,10,0)=TRUE,"Yes","")</f>
        <v/>
      </c>
    </row>
    <row r="129" spans="1:11" ht="221">
      <c r="A129" s="25" t="s">
        <v>45</v>
      </c>
      <c r="B129" s="24" t="str">
        <f>VLOOKUP($A129,Questions!$A$2:$X$333,2,0)</f>
        <v>Do you have a dedicated information security staff or office?</v>
      </c>
      <c r="C129" s="52" t="str">
        <f>VLOOKUP($A129,'Institution Evaluation'!$A$56:$K$346,3,0)&amp;""</f>
        <v>no</v>
      </c>
      <c r="D129" s="52" t="str">
        <f>VLOOKUP($A129,'Institution Evaluation'!$A$56:$K$346,4,0)&amp;""</f>
        <v>As a small business with no in-house IT staff, ASC does not plan to create a dedicated information security office. Instead, security responsibilities are centralized to the founder/administrator role, with infrastructure, network, and hosting security managed by Liquid Web LLC</v>
      </c>
      <c r="E129" s="350" t="str">
        <f>VLOOKUP($A129,'Institution Evaluation'!$A$56:$K$346,5,0)&amp;""</f>
        <v>Describe any plans to create an information security office for your organization.</v>
      </c>
      <c r="F129" s="195" t="str">
        <f>VLOOKUP($A129,'Institution Evaluation'!$A$56:$K$346,6,0)&amp;""</f>
        <v/>
      </c>
      <c r="G129" s="37" t="str">
        <f>VLOOKUP($A129,'Institution Evaluation'!$A$56:$K$346,7,0)&amp;""</f>
        <v>Yes</v>
      </c>
      <c r="H129" s="192" t="str">
        <f>VLOOKUP($A129,'Institution Evaluation'!$A$56:$K$346,8,0)&amp;""</f>
        <v/>
      </c>
      <c r="I129" s="52" t="str">
        <f>VLOOKUP($A129,'Institution Evaluation'!$A$56:$K$346,9,0)&amp;""</f>
        <v>Minor Importance</v>
      </c>
      <c r="J129" s="193" t="str">
        <f>VLOOKUP($A129,'Institution Evaluation'!$A$56:$K$346,10,0)&amp;""</f>
        <v/>
      </c>
      <c r="K129" s="55" t="str">
        <f>IF(VLOOKUP($A129,'Institution Evaluation'!$A$56:$K$346,10,0)=TRUE,"Yes","")</f>
        <v/>
      </c>
    </row>
    <row r="130" spans="1:11" s="1" customFormat="1" ht="18">
      <c r="A130" s="70" t="str">
        <f>VLOOKUP(LEFT($A131,4),'Auto Responses'!$N$4:$O$38,2,0)&amp;""</f>
        <v xml:space="preserve"> Required Questions</v>
      </c>
      <c r="B130" s="29"/>
      <c r="C130" s="38"/>
      <c r="D130" s="38"/>
      <c r="E130" s="351"/>
      <c r="F130" s="139" t="s">
        <v>1089</v>
      </c>
      <c r="G130" s="358" t="s">
        <v>925</v>
      </c>
      <c r="H130" s="358" t="s">
        <v>927</v>
      </c>
      <c r="I130" s="358" t="s">
        <v>19</v>
      </c>
      <c r="J130" s="358" t="s">
        <v>912</v>
      </c>
      <c r="K130" s="38"/>
    </row>
    <row r="131" spans="1:11" ht="51">
      <c r="A131" s="25" t="s">
        <v>58</v>
      </c>
      <c r="B131" s="24" t="str">
        <f>VLOOKUP($A131,Questions!$A$2:$X$333,2,0)</f>
        <v>Does your solution have AI features, or are there plans to implement AI features in the next 12 months?</v>
      </c>
      <c r="C131" s="52" t="str">
        <f>VLOOKUP($A131,'Institution Evaluation'!$A$56:$K$346,3,0)&amp;""</f>
        <v>no</v>
      </c>
      <c r="D131" s="52" t="str">
        <f>VLOOKUP($A131,'Institution Evaluation'!$A$56:$K$346,4,0)&amp;""</f>
        <v/>
      </c>
      <c r="E131" s="350" t="str">
        <f>VLOOKUP($A131,'Institution Evaluation'!$A$56:$K$346,5,0)&amp;""</f>
        <v>DO NOT complete the Artificial Intelligence (AI) worksheet</v>
      </c>
      <c r="F131" s="195" t="str">
        <f>VLOOKUP($A131,'Institution Evaluation'!$A$56:$K$346,6,0)&amp;""</f>
        <v/>
      </c>
      <c r="G131" s="37" t="str">
        <f>VLOOKUP($A131,'Institution Evaluation'!$A$56:$K$346,7,0)&amp;""</f>
        <v>Not scored</v>
      </c>
      <c r="H131" s="192" t="str">
        <f>VLOOKUP($A131,'Institution Evaluation'!$A$56:$K$346,8,0)&amp;""</f>
        <v/>
      </c>
      <c r="I131" s="52" t="str">
        <f>VLOOKUP($A131,'Institution Evaluation'!$A$56:$K$346,9,0)&amp;""</f>
        <v/>
      </c>
      <c r="J131" s="193" t="str">
        <f>VLOOKUP($A131,'Institution Evaluation'!$A$56:$K$346,10,0)&amp;""</f>
        <v/>
      </c>
      <c r="K131" s="55" t="str">
        <f>IF(VLOOKUP($A131,'Institution Evaluation'!$A$56:$K$346,10,0)=TRUE,"Yes","")</f>
        <v/>
      </c>
    </row>
    <row r="132" spans="1:11" ht="51">
      <c r="A132" s="25" t="s">
        <v>61</v>
      </c>
      <c r="B132" s="24" t="str">
        <f>VLOOKUP($A132,Questions!$A$2:$X$333,2,0)</f>
        <v>Does your solution process protected health information (PHI) or any data covered by the Health Insurance Portability and Accountability Act (HIPAA)?</v>
      </c>
      <c r="C132" s="52" t="str">
        <f>VLOOKUP($A132,'Institution Evaluation'!$A$56:$K$346,3,0)&amp;""</f>
        <v>no</v>
      </c>
      <c r="D132" s="52" t="str">
        <f>VLOOKUP($A132,'Institution Evaluation'!$A$56:$K$346,4,0)&amp;""</f>
        <v/>
      </c>
      <c r="E132" s="350" t="str">
        <f>VLOOKUP($A132,'Institution Evaluation'!$A$56:$K$346,5,0)&amp;""</f>
        <v>DO NOT complete the HIPAA section in the Case-Specific worksheet</v>
      </c>
      <c r="F132" s="195" t="str">
        <f>VLOOKUP($A132,'Institution Evaluation'!$A$56:$K$346,6,0)&amp;""</f>
        <v/>
      </c>
      <c r="G132" s="37" t="str">
        <f>VLOOKUP($A132,'Institution Evaluation'!$A$56:$K$346,7,0)&amp;""</f>
        <v>Not scored</v>
      </c>
      <c r="H132" s="192" t="str">
        <f>VLOOKUP($A132,'Institution Evaluation'!$A$56:$K$346,8,0)&amp;""</f>
        <v/>
      </c>
      <c r="I132" s="52" t="str">
        <f>VLOOKUP($A132,'Institution Evaluation'!$A$56:$K$346,9,0)&amp;""</f>
        <v/>
      </c>
      <c r="J132" s="193" t="str">
        <f>VLOOKUP($A132,'Institution Evaluation'!$A$56:$K$346,10,0)&amp;""</f>
        <v/>
      </c>
      <c r="K132" s="55" t="str">
        <f>IF(VLOOKUP($A132,'Institution Evaluation'!$A$56:$K$346,10,0)=TRUE,"Yes","")</f>
        <v/>
      </c>
    </row>
    <row r="133" spans="1:11" ht="51">
      <c r="A133" s="25" t="s">
        <v>64</v>
      </c>
      <c r="B133" s="24" t="str">
        <f>VLOOKUP($A133,Questions!$A$2:$X$333,2,0)</f>
        <v>Is the solution designed to process, store, or transmit credit card information?</v>
      </c>
      <c r="C133" s="52" t="str">
        <f>VLOOKUP($A133,'Institution Evaluation'!$A$56:$K$346,3,0)&amp;""</f>
        <v>no</v>
      </c>
      <c r="D133" s="52" t="str">
        <f>VLOOKUP($A133,'Institution Evaluation'!$A$56:$K$346,4,0)&amp;""</f>
        <v/>
      </c>
      <c r="E133" s="350" t="str">
        <f>VLOOKUP($A133,'Institution Evaluation'!$A$56:$K$346,5,0)&amp;""</f>
        <v>DO NOT complete the PCI-DSS section in the Case-Specific worksheet</v>
      </c>
      <c r="F133" s="195" t="str">
        <f>VLOOKUP($A133,'Institution Evaluation'!$A$56:$K$346,6,0)&amp;""</f>
        <v/>
      </c>
      <c r="G133" s="37" t="str">
        <f>VLOOKUP($A133,'Institution Evaluation'!$A$56:$K$346,7,0)&amp;""</f>
        <v>Not scored</v>
      </c>
      <c r="H133" s="192" t="str">
        <f>VLOOKUP($A133,'Institution Evaluation'!$A$56:$K$346,8,0)&amp;""</f>
        <v/>
      </c>
      <c r="I133" s="52" t="str">
        <f>VLOOKUP($A133,'Institution Evaluation'!$A$56:$K$346,9,0)&amp;""</f>
        <v/>
      </c>
      <c r="J133" s="193" t="str">
        <f>VLOOKUP($A133,'Institution Evaluation'!$A$56:$K$346,10,0)&amp;""</f>
        <v/>
      </c>
      <c r="K133" s="55" t="str">
        <f>IF(VLOOKUP($A133,'Institution Evaluation'!$A$56:$K$346,10,0)=TRUE,"Yes","")</f>
        <v/>
      </c>
    </row>
    <row r="134" spans="1:11" ht="306">
      <c r="A134" s="25" t="s">
        <v>1025</v>
      </c>
      <c r="B134" s="24" t="str">
        <f>VLOOKUP($A134,Questions!$A$2:$X$333,2,0)</f>
        <v>Does your solution have access to personal or institutional data?</v>
      </c>
      <c r="C134" s="52" t="str">
        <f>VLOOKUP($A134,'Institution Evaluation'!$A$56:$K$346,3,0)&amp;""</f>
        <v>yes</v>
      </c>
      <c r="D134" s="52" t="str">
        <f>VLOOKUP($A134,'Institution Evaluation'!$A$56:$K$346,4,0)&amp;""</f>
        <v>TalEval stores limited personal information (student first/last name, program entry and graduation dates) required for academic evaluation. The solution does not store Social Security numbers, financial data, medical histories, or other high-risk sensitive data. The application does not interface with other institutional systems, and all data remains contained within TalEval.</v>
      </c>
      <c r="E134" s="350" t="str">
        <f>VLOOKUP($A134,'Institution Evaluation'!$A$56:$K$346,5,0)&amp;""</f>
        <v>DO complete the Privacy tab</v>
      </c>
      <c r="F134" s="195" t="str">
        <f>VLOOKUP($A134,'Institution Evaluation'!$A$56:$K$346,6,0)&amp;""</f>
        <v/>
      </c>
      <c r="G134" s="37" t="str">
        <f>VLOOKUP($A134,'Institution Evaluation'!$A$56:$K$346,7,0)&amp;""</f>
        <v>Not scored</v>
      </c>
      <c r="H134" s="192" t="str">
        <f>VLOOKUP($A134,'Institution Evaluation'!$A$56:$K$346,8,0)&amp;""</f>
        <v/>
      </c>
      <c r="I134" s="52" t="str">
        <f>VLOOKUP($A134,'Institution Evaluation'!$A$56:$K$346,9,0)&amp;""</f>
        <v/>
      </c>
      <c r="J134" s="193" t="str">
        <f>VLOOKUP($A134,'Institution Evaluation'!$A$56:$K$346,10,0)&amp;""</f>
        <v/>
      </c>
      <c r="K134" s="55" t="str">
        <f>IF(VLOOKUP($A134,'Institution Evaluation'!$A$56:$K$346,10,0)=TRUE,"Yes","")</f>
        <v/>
      </c>
    </row>
    <row r="135" spans="1:11" s="1" customFormat="1" ht="18">
      <c r="A135" s="70" t="str">
        <f>VLOOKUP(LEFT($A136,4),'Auto Responses'!$N$4:$O$38,2,0)&amp;""</f>
        <v xml:space="preserve"> Documentation</v>
      </c>
      <c r="B135" s="29"/>
      <c r="C135" s="38"/>
      <c r="D135" s="38"/>
      <c r="E135" s="351"/>
      <c r="F135" s="139" t="s">
        <v>1089</v>
      </c>
      <c r="G135" s="358" t="s">
        <v>925</v>
      </c>
      <c r="H135" s="358" t="s">
        <v>927</v>
      </c>
      <c r="I135" s="358" t="s">
        <v>19</v>
      </c>
      <c r="J135" s="358" t="s">
        <v>912</v>
      </c>
      <c r="K135" s="38"/>
    </row>
    <row r="136" spans="1:11" ht="45">
      <c r="A136" s="25" t="s">
        <v>70</v>
      </c>
      <c r="B136" s="24" t="str">
        <f>VLOOKUP($A136,Questions!$A$2:$X$333,2,0)</f>
        <v>Do you have a well-documented business continuity plan (BCP), with a clear owner, that is tested annually?*</v>
      </c>
      <c r="C136" s="52" t="str">
        <f>VLOOKUP($A136,'Institution Evaluation'!$A$56:$K$346,3,0)&amp;""</f>
        <v>yes</v>
      </c>
      <c r="D136" s="52" t="str">
        <f>VLOOKUP($A136,'Institution Evaluation'!$A$56:$K$346,4,0)&amp;""</f>
        <v/>
      </c>
      <c r="E136" s="350" t="str">
        <f>VLOOKUP($A136,'Institution Evaluation'!$A$56:$K$346,5,0)&amp;""</f>
        <v/>
      </c>
      <c r="F136" s="195" t="str">
        <f>VLOOKUP($A136,'Institution Evaluation'!$A$56:$K$346,6,0)&amp;""</f>
        <v/>
      </c>
      <c r="G136" s="37" t="str">
        <f>VLOOKUP($A136,'Institution Evaluation'!$A$56:$K$346,7,0)&amp;""</f>
        <v>Yes</v>
      </c>
      <c r="H136" s="192" t="str">
        <f>VLOOKUP($A136,'Institution Evaluation'!$A$56:$K$346,8,0)&amp;""</f>
        <v/>
      </c>
      <c r="I136" s="52" t="str">
        <f>VLOOKUP($A136,'Institution Evaluation'!$A$56:$K$346,9,0)&amp;""</f>
        <v>Critical Importance</v>
      </c>
      <c r="J136" s="193" t="str">
        <f>VLOOKUP($A136,'Institution Evaluation'!$A$56:$K$346,10,0)&amp;""</f>
        <v/>
      </c>
      <c r="K136" s="55" t="str">
        <f>IF(VLOOKUP($A136,'Institution Evaluation'!$A$56:$K$346,10,0)=TRUE,"Yes","")</f>
        <v/>
      </c>
    </row>
    <row r="137" spans="1:11" ht="170">
      <c r="A137" s="25" t="s">
        <v>77</v>
      </c>
      <c r="B137" s="24" t="str">
        <f>VLOOKUP($A137,Questions!$A$2:$X$333,2,0)</f>
        <v>Have you undergone a SSAE 18/SOC 2 audit?</v>
      </c>
      <c r="C137" s="52" t="str">
        <f>VLOOKUP($A137,'Institution Evaluation'!$A$56:$K$346,3,0)&amp;""</f>
        <v>yes</v>
      </c>
      <c r="D137" s="52" t="str">
        <f>VLOOKUP($A137,'Institution Evaluation'!$A$56:$K$346,4,0)&amp;""</f>
        <v>Handled by hosting provider (Liquid Web LLC, D30 report available)”.</v>
      </c>
      <c r="E137" s="350" t="str">
        <f>VLOOKUP($A137,'Institution Evaluation'!$A$56:$K$346,5,0)&amp;""</f>
        <v>Provide the date of assessment and include a SOC 2 Type 2 (preferred) or SOC 3 report. If you have a SOC 3 report, state how to obtain a copy. Indicate if your hosting provider was the subject of the audit.</v>
      </c>
      <c r="F137" s="195" t="str">
        <f>VLOOKUP($A137,'Institution Evaluation'!$A$56:$K$346,6,0)&amp;""</f>
        <v/>
      </c>
      <c r="G137" s="37" t="str">
        <f>VLOOKUP($A137,'Institution Evaluation'!$A$56:$K$346,7,0)&amp;""</f>
        <v>Yes</v>
      </c>
      <c r="H137" s="192" t="str">
        <f>VLOOKUP($A137,'Institution Evaluation'!$A$56:$K$346,8,0)&amp;""</f>
        <v/>
      </c>
      <c r="I137" s="52" t="str">
        <f>VLOOKUP($A137,'Institution Evaluation'!$A$56:$K$346,9,0)&amp;""</f>
        <v>Standard Importance</v>
      </c>
      <c r="J137" s="193" t="str">
        <f>VLOOKUP($A137,'Institution Evaluation'!$A$56:$K$346,10,0)&amp;""</f>
        <v/>
      </c>
      <c r="K137" s="55" t="str">
        <f>IF(VLOOKUP($A137,'Institution Evaluation'!$A$56:$K$346,10,0)=TRUE,"Yes","")</f>
        <v/>
      </c>
    </row>
    <row r="138" spans="1:11" ht="119">
      <c r="A138" s="25" t="s">
        <v>80</v>
      </c>
      <c r="B138" s="24" t="str">
        <f>VLOOKUP($A138,Questions!$A$2:$X$333,2,0)</f>
        <v>Do you conform with a specific industry standard security framework (e.g., NIST Cybersecurity Framework, CIS Controls, ISO 27001, etc.)?</v>
      </c>
      <c r="C138" s="52" t="str">
        <f>VLOOKUP($A138,'Institution Evaluation'!$A$56:$K$346,3,0)&amp;""</f>
        <v>yes</v>
      </c>
      <c r="D138" s="52" t="str">
        <f>VLOOKUP($A138,'Institution Evaluation'!$A$56:$K$346,4,0)&amp;""</f>
        <v>Handled by hosting provider (Liquid Web LLC, SOC 2 report available)”.</v>
      </c>
      <c r="E138" s="350" t="str">
        <f>VLOOKUP($A138,'Institution Evaluation'!$A$56:$K$346,5,0)&amp;""</f>
        <v>Provide documentation on how your organization conforms to your chosen framework and indicate current certification levels, where appropriate.</v>
      </c>
      <c r="F138" s="195" t="str">
        <f>VLOOKUP($A138,'Institution Evaluation'!$A$56:$K$346,6,0)&amp;""</f>
        <v/>
      </c>
      <c r="G138" s="37" t="str">
        <f>VLOOKUP($A138,'Institution Evaluation'!$A$56:$K$346,7,0)&amp;""</f>
        <v>Yes</v>
      </c>
      <c r="H138" s="192" t="str">
        <f>VLOOKUP($A138,'Institution Evaluation'!$A$56:$K$346,8,0)&amp;""</f>
        <v/>
      </c>
      <c r="I138" s="52" t="str">
        <f>VLOOKUP($A138,'Institution Evaluation'!$A$56:$K$346,9,0)&amp;""</f>
        <v>Standard Importance</v>
      </c>
      <c r="J138" s="193" t="str">
        <f>VLOOKUP($A138,'Institution Evaluation'!$A$56:$K$346,10,0)&amp;""</f>
        <v/>
      </c>
      <c r="K138" s="55" t="str">
        <f>IF(VLOOKUP($A138,'Institution Evaluation'!$A$56:$K$346,10,0)=TRUE,"Yes","")</f>
        <v/>
      </c>
    </row>
    <row r="139" spans="1:11" ht="68">
      <c r="A139" s="25" t="s">
        <v>84</v>
      </c>
      <c r="B139" s="24" t="str">
        <f>VLOOKUP($A139,Questions!$A$2:$X$333,2,0)</f>
        <v>Can you provide overall system and/or application architecture diagrams, including a full description of the data flow for all components of the system?</v>
      </c>
      <c r="C139" s="52" t="str">
        <f>VLOOKUP($A139,'Institution Evaluation'!$A$56:$K$346,3,0)&amp;""</f>
        <v>yes</v>
      </c>
      <c r="D139" s="52" t="str">
        <f>VLOOKUP($A139,'Institution Evaluation'!$A$56:$K$346,4,0)&amp;""</f>
        <v>Handled by hosting provider (Liquid Web LLC, SOC 2 report available)”.</v>
      </c>
      <c r="E139" s="350" t="str">
        <f>VLOOKUP($A139,'Institution Evaluation'!$A$56:$K$346,5,0)&amp;""</f>
        <v>Provide your diagrams (or a valid link to it) upon submission.</v>
      </c>
      <c r="F139" s="195" t="str">
        <f>VLOOKUP($A139,'Institution Evaluation'!$A$56:$K$346,6,0)&amp;""</f>
        <v/>
      </c>
      <c r="G139" s="37" t="str">
        <f>VLOOKUP($A139,'Institution Evaluation'!$A$56:$K$346,7,0)&amp;""</f>
        <v>Yes</v>
      </c>
      <c r="H139" s="192" t="str">
        <f>VLOOKUP($A139,'Institution Evaluation'!$A$56:$K$346,8,0)&amp;""</f>
        <v/>
      </c>
      <c r="I139" s="52" t="str">
        <f>VLOOKUP($A139,'Institution Evaluation'!$A$56:$K$346,9,0)&amp;""</f>
        <v>Standard Importance</v>
      </c>
      <c r="J139" s="193" t="str">
        <f>VLOOKUP($A139,'Institution Evaluation'!$A$56:$K$346,10,0)&amp;""</f>
        <v/>
      </c>
      <c r="K139" s="55" t="str">
        <f>IF(VLOOKUP($A139,'Institution Evaluation'!$A$56:$K$346,10,0)=TRUE,"Yes","")</f>
        <v/>
      </c>
    </row>
    <row r="140" spans="1:11" ht="68">
      <c r="A140" s="25" t="s">
        <v>88</v>
      </c>
      <c r="B140" s="24" t="str">
        <f>VLOOKUP($A140,Questions!$A$2:$X$333,2,0)</f>
        <v>Does your organization have a data privacy policy?</v>
      </c>
      <c r="C140" s="52" t="str">
        <f>VLOOKUP($A140,'Institution Evaluation'!$A$56:$K$346,3,0)&amp;""</f>
        <v>yes</v>
      </c>
      <c r="D140" s="52" t="str">
        <f>VLOOKUP($A140,'Institution Evaluation'!$A$56:$K$346,4,0)&amp;""</f>
        <v>https://taleval.com/SiteDocs/TalEvalRazor_Website_Terms.pdf</v>
      </c>
      <c r="E140" s="350" t="str">
        <f>VLOOKUP($A140,'Institution Evaluation'!$A$56:$K$346,5,0)&amp;""</f>
        <v>Provide your data privacy document (or a valid link to it) upon submission.</v>
      </c>
      <c r="F140" s="195" t="str">
        <f>VLOOKUP($A140,'Institution Evaluation'!$A$56:$K$346,6,0)&amp;""</f>
        <v/>
      </c>
      <c r="G140" s="37" t="str">
        <f>VLOOKUP($A140,'Institution Evaluation'!$A$56:$K$346,7,0)&amp;""</f>
        <v>Yes</v>
      </c>
      <c r="H140" s="192" t="str">
        <f>VLOOKUP($A140,'Institution Evaluation'!$A$56:$K$346,8,0)&amp;""</f>
        <v/>
      </c>
      <c r="I140" s="52" t="str">
        <f>VLOOKUP($A140,'Institution Evaluation'!$A$56:$K$346,9,0)&amp;""</f>
        <v>Standard Importance</v>
      </c>
      <c r="J140" s="193" t="str">
        <f>VLOOKUP($A140,'Institution Evaluation'!$A$56:$K$346,10,0)&amp;""</f>
        <v/>
      </c>
      <c r="K140" s="55" t="str">
        <f>IF(VLOOKUP($A140,'Institution Evaluation'!$A$56:$K$346,10,0)=TRUE,"Yes","")</f>
        <v/>
      </c>
    </row>
    <row r="141" spans="1:11" ht="68">
      <c r="A141" s="25" t="s">
        <v>92</v>
      </c>
      <c r="B141" s="24" t="str">
        <f>VLOOKUP($A141,Questions!$A$2:$X$333,2,0)</f>
        <v>Do you have a documented, and currently implemented, employee onboarding and offboarding policy?</v>
      </c>
      <c r="C141" s="52" t="str">
        <f>VLOOKUP($A141,'Institution Evaluation'!$A$56:$K$346,3,0)&amp;""</f>
        <v>no</v>
      </c>
      <c r="D141" s="52" t="str">
        <f>VLOOKUP($A141,'Institution Evaluation'!$A$56:$K$346,4,0)&amp;""</f>
        <v>small business.  3 full time employees, 2 contractors.  Don't need it</v>
      </c>
      <c r="E141" s="350" t="str">
        <f>VLOOKUP($A141,'Institution Evaluation'!$A$56:$K$346,5,0)&amp;""</f>
        <v>Briefly summarize your response.</v>
      </c>
      <c r="F141" s="195" t="str">
        <f>VLOOKUP($A141,'Institution Evaluation'!$A$56:$K$346,6,0)&amp;""</f>
        <v/>
      </c>
      <c r="G141" s="37" t="str">
        <f>VLOOKUP($A141,'Institution Evaluation'!$A$56:$K$346,7,0)&amp;""</f>
        <v>Yes</v>
      </c>
      <c r="H141" s="192" t="str">
        <f>VLOOKUP($A141,'Institution Evaluation'!$A$56:$K$346,8,0)&amp;""</f>
        <v/>
      </c>
      <c r="I141" s="52" t="str">
        <f>VLOOKUP($A141,'Institution Evaluation'!$A$56:$K$346,9,0)&amp;""</f>
        <v>Standard Importance</v>
      </c>
      <c r="J141" s="193" t="str">
        <f>VLOOKUP($A141,'Institution Evaluation'!$A$56:$K$346,10,0)&amp;""</f>
        <v/>
      </c>
      <c r="K141" s="55" t="str">
        <f>IF(VLOOKUP($A141,'Institution Evaluation'!$A$56:$K$346,10,0)=TRUE,"Yes","")</f>
        <v/>
      </c>
    </row>
    <row r="142" spans="1:11" s="1" customFormat="1" ht="18">
      <c r="A142" s="70" t="str">
        <f>VLOOKUP(LEFT($A143,4),'Auto Responses'!$N$4:$O$38,2,0)&amp;""</f>
        <v xml:space="preserve"> IT Accessibility</v>
      </c>
      <c r="B142" s="29"/>
      <c r="C142" s="38"/>
      <c r="D142" s="38"/>
      <c r="E142" s="351"/>
      <c r="F142" s="139" t="s">
        <v>1089</v>
      </c>
      <c r="G142" s="358" t="s">
        <v>925</v>
      </c>
      <c r="H142" s="358" t="s">
        <v>927</v>
      </c>
      <c r="I142" s="358" t="s">
        <v>19</v>
      </c>
      <c r="J142" s="358" t="s">
        <v>912</v>
      </c>
      <c r="K142" s="38"/>
    </row>
    <row r="143" spans="1:11" ht="34">
      <c r="A143" s="25" t="s">
        <v>97</v>
      </c>
      <c r="B143" s="24" t="str">
        <f>VLOOKUP($A143,Questions!$A$2:$X$333,2,0)</f>
        <v>Web Link to Accessibility Statement or VPAT</v>
      </c>
      <c r="C143" s="52" t="str">
        <f>VLOOKUP($A143,'Institution Evaluation'!$A$56:$K$346,3,0)&amp;""</f>
        <v/>
      </c>
      <c r="D143" s="52" t="str">
        <f>VLOOKUP($A143,'Institution Evaluation'!$A$56:$K$346,4,0)&amp;""</f>
        <v>It is attached.</v>
      </c>
      <c r="E143" s="350" t="str">
        <f>VLOOKUP($A143,'Institution Evaluation'!$A$56:$K$346,5,0)&amp;""</f>
        <v>VPAT can also be added as an attachment</v>
      </c>
      <c r="F143" s="195" t="str">
        <f>VLOOKUP($A143,'Institution Evaluation'!$A$56:$K$346,6,0)&amp;""</f>
        <v/>
      </c>
      <c r="G143" s="37" t="str">
        <f>VLOOKUP($A143,'Institution Evaluation'!$A$56:$K$346,7,0)&amp;""</f>
        <v>Not scored</v>
      </c>
      <c r="H143" s="192" t="str">
        <f>VLOOKUP($A143,'Institution Evaluation'!$A$56:$K$346,8,0)&amp;""</f>
        <v/>
      </c>
      <c r="I143" s="52" t="str">
        <f>VLOOKUP($A143,'Institution Evaluation'!$A$56:$K$346,9,0)&amp;""</f>
        <v>Standard Importance</v>
      </c>
      <c r="J143" s="193" t="str">
        <f>VLOOKUP($A143,'Institution Evaluation'!$A$56:$K$346,10,0)&amp;""</f>
        <v/>
      </c>
      <c r="K143" s="55" t="str">
        <f>IF(VLOOKUP($A143,'Institution Evaluation'!$A$56:$K$346,10,0)=TRUE,"Yes","")</f>
        <v/>
      </c>
    </row>
    <row r="144" spans="1:11" ht="45">
      <c r="A144" s="25" t="s">
        <v>103</v>
      </c>
      <c r="B144" s="24" t="str">
        <f>VLOOKUP($A144,Questions!$A$2:$X$333,2,0)</f>
        <v>Will your company agree to meet your stated accessibility standard or WCAG 2.1 AA as part of your contractual agreement for the solution?*</v>
      </c>
      <c r="C144" s="52" t="str">
        <f>VLOOKUP($A144,'Institution Evaluation'!$A$56:$K$346,3,0)&amp;""</f>
        <v>yes</v>
      </c>
      <c r="D144" s="52" t="str">
        <f>VLOOKUP($A144,'Institution Evaluation'!$A$56:$K$346,4,0)&amp;""</f>
        <v/>
      </c>
      <c r="E144" s="350" t="str">
        <f>VLOOKUP($A144,'Institution Evaluation'!$A$56:$K$346,5,0)&amp;""</f>
        <v/>
      </c>
      <c r="F144" s="195" t="str">
        <f>VLOOKUP($A144,'Institution Evaluation'!$A$56:$K$346,6,0)&amp;""</f>
        <v/>
      </c>
      <c r="G144" s="37" t="str">
        <f>VLOOKUP($A144,'Institution Evaluation'!$A$56:$K$346,7,0)&amp;""</f>
        <v>Yes</v>
      </c>
      <c r="H144" s="192" t="str">
        <f>VLOOKUP($A144,'Institution Evaluation'!$A$56:$K$346,8,0)&amp;""</f>
        <v/>
      </c>
      <c r="I144" s="52" t="str">
        <f>VLOOKUP($A144,'Institution Evaluation'!$A$56:$K$346,9,0)&amp;""</f>
        <v>Critical Importance</v>
      </c>
      <c r="J144" s="193" t="str">
        <f>VLOOKUP($A144,'Institution Evaluation'!$A$56:$K$346,10,0)&amp;""</f>
        <v/>
      </c>
      <c r="K144" s="55" t="str">
        <f>IF(VLOOKUP($A144,'Institution Evaluation'!$A$56:$K$346,10,0)=TRUE,"Yes","")</f>
        <v/>
      </c>
    </row>
    <row r="145" spans="1:11" s="1" customFormat="1" ht="18">
      <c r="A145" s="70" t="str">
        <f>VLOOKUP(LEFT($A146,4),'Auto Responses'!$N$4:$O$38,2,0)&amp;""</f>
        <v xml:space="preserve"> Assessment of Third Parties</v>
      </c>
      <c r="B145" s="29"/>
      <c r="C145" s="38"/>
      <c r="D145" s="38"/>
      <c r="E145" s="351"/>
      <c r="F145" s="139" t="s">
        <v>1089</v>
      </c>
      <c r="G145" s="358" t="s">
        <v>925</v>
      </c>
      <c r="H145" s="358" t="s">
        <v>927</v>
      </c>
      <c r="I145" s="358" t="s">
        <v>19</v>
      </c>
      <c r="J145" s="358" t="s">
        <v>912</v>
      </c>
      <c r="K145" s="38"/>
    </row>
    <row r="146" spans="1:11" ht="255">
      <c r="A146" s="25" t="s">
        <v>130</v>
      </c>
      <c r="B146" s="24" t="str">
        <f>VLOOKUP($A146,Questions!$A$2:$X$333,2,0)</f>
        <v>Do you perform security assessments of third-party companies with which you share data (e.g., hosting providers, cloud services, PaaS, IaaS, SaaS)?*</v>
      </c>
      <c r="C146" s="52" t="str">
        <f>VLOOKUP($A146,'Institution Evaluation'!$A$56:$K$346,3,0)&amp;""</f>
        <v>yes</v>
      </c>
      <c r="D146" s="52" t="str">
        <f>VLOOKUP($A146,'Institution Evaluation'!$A$56:$K$346,4,0)&amp;""</f>
        <v>America’s Software Corporation performs due diligence on its hosting provider, Liquid Web LLC. Security assessments are based on Liquid Web’s SOC 2 report and independent audits, which confirm compliance with security, availability, and confidentiality standards. No other third parties have access to institutional data</v>
      </c>
      <c r="E146" s="350" t="str">
        <f>VLOOKUP($A146,'Institution Evaluation'!$A$56:$K$346,5,0)&amp;""</f>
        <v>Provide a summary of your practices that assures that the third party will be subject to the appropriate standards regarding security, service recoverability, and confidentiality.</v>
      </c>
      <c r="F146" s="195" t="str">
        <f>VLOOKUP($A146,'Institution Evaluation'!$A$56:$K$346,6,0)&amp;""</f>
        <v/>
      </c>
      <c r="G146" s="37" t="str">
        <f>VLOOKUP($A146,'Institution Evaluation'!$A$56:$K$346,7,0)&amp;""</f>
        <v>Yes</v>
      </c>
      <c r="H146" s="192" t="str">
        <f>VLOOKUP($A146,'Institution Evaluation'!$A$56:$K$346,8,0)&amp;""</f>
        <v/>
      </c>
      <c r="I146" s="52" t="str">
        <f>VLOOKUP($A146,'Institution Evaluation'!$A$56:$K$346,9,0)&amp;""</f>
        <v>Critical Importance</v>
      </c>
      <c r="J146" s="193" t="str">
        <f>VLOOKUP($A146,'Institution Evaluation'!$A$56:$K$346,10,0)&amp;""</f>
        <v/>
      </c>
      <c r="K146" s="55" t="str">
        <f>IF(VLOOKUP($A146,'Institution Evaluation'!$A$56:$K$346,10,0)=TRUE,"Yes","")</f>
        <v/>
      </c>
    </row>
    <row r="147" spans="1:11" ht="204">
      <c r="A147" s="25" t="s">
        <v>134</v>
      </c>
      <c r="B147" s="24" t="str">
        <f>VLOOKUP($A147,Questions!$A$2:$X$333,2,0)</f>
        <v>Do you have contractual language in place with third parties governing access to institutional data?*</v>
      </c>
      <c r="C147" s="52" t="str">
        <f>VLOOKUP($A147,'Institution Evaluation'!$A$56:$K$346,3,0)&amp;""</f>
        <v>yes</v>
      </c>
      <c r="D147" s="52" t="str">
        <f>VLOOKUP($A147,'Institution Evaluation'!$A$56:$K$346,4,0)&amp;""</f>
        <v>institutional data is hosted with Liquid Web LLC under a formal service agreement. Liquid Web is SOC 2 certified, and contractual provisions govern access, security, and compliance requirements. No other third parties have access to institutional dat</v>
      </c>
      <c r="E147" s="350" t="str">
        <f>VLOOKUP($A147,'Institution Evaluation'!$A$56:$K$346,5,0)&amp;""</f>
        <v>List each third party and why institutional data is shared with them. Format example: [Third Party Name] - Reason</v>
      </c>
      <c r="F147" s="195" t="str">
        <f>VLOOKUP($A147,'Institution Evaluation'!$A$56:$K$346,6,0)&amp;""</f>
        <v/>
      </c>
      <c r="G147" s="37" t="str">
        <f>VLOOKUP($A147,'Institution Evaluation'!$A$56:$K$346,7,0)&amp;""</f>
        <v>Yes</v>
      </c>
      <c r="H147" s="192" t="str">
        <f>VLOOKUP($A147,'Institution Evaluation'!$A$56:$K$346,8,0)&amp;""</f>
        <v/>
      </c>
      <c r="I147" s="52" t="str">
        <f>VLOOKUP($A147,'Institution Evaluation'!$A$56:$K$346,9,0)&amp;""</f>
        <v>Critical Importance</v>
      </c>
      <c r="J147" s="193" t="str">
        <f>VLOOKUP($A147,'Institution Evaluation'!$A$56:$K$346,10,0)&amp;""</f>
        <v/>
      </c>
      <c r="K147" s="55" t="str">
        <f>IF(VLOOKUP($A147,'Institution Evaluation'!$A$56:$K$346,10,0)=TRUE,"Yes","")</f>
        <v/>
      </c>
    </row>
    <row r="148" spans="1:11" ht="30">
      <c r="A148" s="25" t="s">
        <v>137</v>
      </c>
      <c r="B148" s="24" t="str">
        <f>VLOOKUP($A148,Questions!$A$2:$X$333,2,0)</f>
        <v>Do the contracts in place with these third parties address liability in the event of a data breach?*</v>
      </c>
      <c r="C148" s="52" t="str">
        <f>VLOOKUP($A148,'Institution Evaluation'!$A$56:$K$346,3,0)&amp;""</f>
        <v>yes</v>
      </c>
      <c r="D148" s="52" t="str">
        <f>VLOOKUP($A148,'Institution Evaluation'!$A$56:$K$346,4,0)&amp;""</f>
        <v/>
      </c>
      <c r="E148" s="350" t="str">
        <f>VLOOKUP($A148,'Institution Evaluation'!$A$56:$K$346,5,0)&amp;""</f>
        <v/>
      </c>
      <c r="F148" s="195" t="str">
        <f>VLOOKUP($A148,'Institution Evaluation'!$A$56:$K$346,6,0)&amp;""</f>
        <v/>
      </c>
      <c r="G148" s="37" t="str">
        <f>VLOOKUP($A148,'Institution Evaluation'!$A$56:$K$346,7,0)&amp;""</f>
        <v>Yes</v>
      </c>
      <c r="H148" s="192" t="str">
        <f>VLOOKUP($A148,'Institution Evaluation'!$A$56:$K$346,8,0)&amp;""</f>
        <v/>
      </c>
      <c r="I148" s="52" t="str">
        <f>VLOOKUP($A148,'Institution Evaluation'!$A$56:$K$346,9,0)&amp;""</f>
        <v>Critical Importance</v>
      </c>
      <c r="J148" s="193" t="str">
        <f>VLOOKUP($A148,'Institution Evaluation'!$A$56:$K$346,10,0)&amp;""</f>
        <v/>
      </c>
      <c r="K148" s="55" t="str">
        <f>IF(VLOOKUP($A148,'Institution Evaluation'!$A$56:$K$346,10,0)=TRUE,"Yes","")</f>
        <v/>
      </c>
    </row>
    <row r="149" spans="1:11" ht="119">
      <c r="A149" s="25" t="s">
        <v>138</v>
      </c>
      <c r="B149" s="24" t="str">
        <f>VLOOKUP($A149,Questions!$A$2:$X$333,2,0)</f>
        <v>Do you have an implemented third-party management strategy?*</v>
      </c>
      <c r="C149" s="52" t="str">
        <f>VLOOKUP($A149,'Institution Evaluation'!$A$56:$K$346,3,0)&amp;""</f>
        <v>yes</v>
      </c>
      <c r="D149" s="52" t="str">
        <f>VLOOKUP($A149,'Institution Evaluation'!$A$56:$K$346,4,0)&amp;""</f>
        <v>Outsourced vendor selection + reliance on SOC audits and certifications.</v>
      </c>
      <c r="E149" s="350" t="str">
        <f>VLOOKUP($A149,'Institution Evaluation'!$A$56:$K$346,5,0)&amp;""</f>
        <v>Provide additional information that may help analysts better understand your environment and how it relates to third-party solutions.</v>
      </c>
      <c r="F149" s="195" t="str">
        <f>VLOOKUP($A149,'Institution Evaluation'!$A$56:$K$346,6,0)&amp;""</f>
        <v/>
      </c>
      <c r="G149" s="37" t="str">
        <f>VLOOKUP($A149,'Institution Evaluation'!$A$56:$K$346,7,0)&amp;""</f>
        <v>Yes</v>
      </c>
      <c r="H149" s="192" t="str">
        <f>VLOOKUP($A149,'Institution Evaluation'!$A$56:$K$346,8,0)&amp;""</f>
        <v/>
      </c>
      <c r="I149" s="52" t="str">
        <f>VLOOKUP($A149,'Institution Evaluation'!$A$56:$K$346,9,0)&amp;""</f>
        <v>Critical Importance</v>
      </c>
      <c r="J149" s="193" t="str">
        <f>VLOOKUP($A149,'Institution Evaluation'!$A$56:$K$346,10,0)&amp;""</f>
        <v/>
      </c>
      <c r="K149" s="55" t="str">
        <f>IF(VLOOKUP($A149,'Institution Evaluation'!$A$56:$K$346,10,0)=TRUE,"Yes","")</f>
        <v/>
      </c>
    </row>
    <row r="150" spans="1:11" s="1" customFormat="1" ht="18">
      <c r="A150" s="70" t="str">
        <f>VLOOKUP(LEFT($A151,4),'Auto Responses'!$N$4:$O$38,2,0)&amp;""</f>
        <v xml:space="preserve"> Consulting Services</v>
      </c>
      <c r="B150" s="29"/>
      <c r="C150" s="38"/>
      <c r="D150" s="38"/>
      <c r="E150" s="351"/>
      <c r="F150" s="139" t="s">
        <v>1089</v>
      </c>
      <c r="G150" s="358" t="s">
        <v>925</v>
      </c>
      <c r="H150" s="358" t="s">
        <v>927</v>
      </c>
      <c r="I150" s="358" t="s">
        <v>19</v>
      </c>
      <c r="J150" s="358" t="s">
        <v>912</v>
      </c>
      <c r="K150" s="38"/>
    </row>
    <row r="151" spans="1:11" ht="102">
      <c r="A151" s="25" t="s">
        <v>146</v>
      </c>
      <c r="B151" s="24" t="str">
        <f>VLOOKUP($A151,Questions!$A$2:$X$333,2,0)</f>
        <v>Will the consultant require access to the institution's network resources?*</v>
      </c>
      <c r="C151" s="52" t="str">
        <f>VLOOKUP($A151,'Institution Evaluation'!$A$56:$K$346,3,0)&amp;""</f>
        <v/>
      </c>
      <c r="D151" s="52" t="str">
        <f>VLOOKUP($A151,'Institution Evaluation'!$A$56:$K$346,4,0)&amp;""</f>
        <v/>
      </c>
      <c r="E151" s="350" t="str">
        <f>VLOOKUP($A151,'Institution Evaluation'!$A$56:$K$346,5,0)&amp;""</f>
        <v>Based on the response to REQU-03 on the "START HERE" tab, this question does not apply to this product or service.</v>
      </c>
      <c r="F151" s="195" t="str">
        <f>VLOOKUP($A151,'Institution Evaluation'!$A$56:$K$346,6,0)&amp;""</f>
        <v/>
      </c>
      <c r="G151" s="37" t="str">
        <f>VLOOKUP($A151,'Institution Evaluation'!$A$56:$K$346,7,0)&amp;""</f>
        <v>No</v>
      </c>
      <c r="H151" s="192" t="str">
        <f>VLOOKUP($A151,'Institution Evaluation'!$A$56:$K$346,8,0)&amp;""</f>
        <v/>
      </c>
      <c r="I151" s="52" t="str">
        <f>VLOOKUP($A151,'Institution Evaluation'!$A$56:$K$346,9,0)&amp;""</f>
        <v>Critical Importance</v>
      </c>
      <c r="J151" s="193" t="str">
        <f>VLOOKUP($A151,'Institution Evaluation'!$A$56:$K$346,10,0)&amp;""</f>
        <v/>
      </c>
      <c r="K151" s="55" t="str">
        <f>IF(VLOOKUP($A151,'Institution Evaluation'!$A$56:$K$346,10,0)=TRUE,"Yes","")</f>
        <v/>
      </c>
    </row>
    <row r="152" spans="1:11" ht="102">
      <c r="A152" s="25" t="s">
        <v>150</v>
      </c>
      <c r="B152" s="24" t="str">
        <f>VLOOKUP($A152,Questions!$A$2:$X$333,2,0)</f>
        <v>Has the consultant received training on (sensitive, HIPAA, PCI, etc.) data handling?*</v>
      </c>
      <c r="C152" s="52" t="str">
        <f>VLOOKUP($A152,'Institution Evaluation'!$A$56:$K$346,3,0)&amp;""</f>
        <v/>
      </c>
      <c r="D152" s="52" t="str">
        <f>VLOOKUP($A152,'Institution Evaluation'!$A$56:$K$346,4,0)&amp;""</f>
        <v/>
      </c>
      <c r="E152" s="350" t="str">
        <f>VLOOKUP($A152,'Institution Evaluation'!$A$56:$K$346,5,0)&amp;""</f>
        <v>Based on the response to REQU-03 on the "START HERE" tab, this question does not apply to this product or service.</v>
      </c>
      <c r="F152" s="195" t="str">
        <f>VLOOKUP($A152,'Institution Evaluation'!$A$56:$K$346,6,0)&amp;""</f>
        <v/>
      </c>
      <c r="G152" s="37" t="str">
        <f>VLOOKUP($A152,'Institution Evaluation'!$A$56:$K$346,7,0)&amp;""</f>
        <v>Yes</v>
      </c>
      <c r="H152" s="192" t="str">
        <f>VLOOKUP($A152,'Institution Evaluation'!$A$56:$K$346,8,0)&amp;""</f>
        <v/>
      </c>
      <c r="I152" s="52" t="str">
        <f>VLOOKUP($A152,'Institution Evaluation'!$A$56:$K$346,9,0)&amp;""</f>
        <v>Critical Importance</v>
      </c>
      <c r="J152" s="193" t="str">
        <f>VLOOKUP($A152,'Institution Evaluation'!$A$56:$K$346,10,0)&amp;""</f>
        <v/>
      </c>
      <c r="K152" s="55" t="str">
        <f>IF(VLOOKUP($A152,'Institution Evaluation'!$A$56:$K$346,10,0)=TRUE,"Yes","")</f>
        <v/>
      </c>
    </row>
    <row r="153" spans="1:11" ht="102">
      <c r="A153" s="25" t="s">
        <v>151</v>
      </c>
      <c r="B153" s="24" t="str">
        <f>VLOOKUP($A153,Questions!$A$2:$X$333,2,0)</f>
        <v>Is the data encrypted (at rest) while in the consultant's possession?*</v>
      </c>
      <c r="C153" s="52" t="str">
        <f>VLOOKUP($A153,'Institution Evaluation'!$A$56:$K$346,3,0)&amp;""</f>
        <v/>
      </c>
      <c r="D153" s="52" t="str">
        <f>VLOOKUP($A153,'Institution Evaluation'!$A$56:$K$346,4,0)&amp;""</f>
        <v/>
      </c>
      <c r="E153" s="350" t="str">
        <f>VLOOKUP($A153,'Institution Evaluation'!$A$56:$K$346,5,0)&amp;""</f>
        <v>Based on the response to REQU-03 on the "START HERE" tab, this question does not apply to this product or service.</v>
      </c>
      <c r="F153" s="195" t="str">
        <f>VLOOKUP($A153,'Institution Evaluation'!$A$56:$K$346,6,0)&amp;""</f>
        <v/>
      </c>
      <c r="G153" s="37" t="str">
        <f>VLOOKUP($A153,'Institution Evaluation'!$A$56:$K$346,7,0)&amp;""</f>
        <v>Yes</v>
      </c>
      <c r="H153" s="192" t="str">
        <f>VLOOKUP($A153,'Institution Evaluation'!$A$56:$K$346,8,0)&amp;""</f>
        <v/>
      </c>
      <c r="I153" s="52" t="str">
        <f>VLOOKUP($A153,'Institution Evaluation'!$A$56:$K$346,9,0)&amp;""</f>
        <v>Critical Importance</v>
      </c>
      <c r="J153" s="193" t="str">
        <f>VLOOKUP($A153,'Institution Evaluation'!$A$56:$K$346,10,0)&amp;""</f>
        <v/>
      </c>
      <c r="K153" s="55" t="str">
        <f>IF(VLOOKUP($A153,'Institution Evaluation'!$A$56:$K$346,10,0)=TRUE,"Yes","")</f>
        <v/>
      </c>
    </row>
    <row r="154" spans="1:11" ht="102">
      <c r="A154" s="25" t="s">
        <v>153</v>
      </c>
      <c r="B154" s="24" t="str">
        <f>VLOOKUP($A154,Questions!$A$2:$X$333,2,0)</f>
        <v>Can access be restricted based on source IP address?*</v>
      </c>
      <c r="C154" s="52" t="str">
        <f>VLOOKUP($A154,'Institution Evaluation'!$A$56:$K$346,3,0)&amp;""</f>
        <v/>
      </c>
      <c r="D154" s="52" t="str">
        <f>VLOOKUP($A154,'Institution Evaluation'!$A$56:$K$346,4,0)&amp;""</f>
        <v/>
      </c>
      <c r="E154" s="350" t="str">
        <f>VLOOKUP($A154,'Institution Evaluation'!$A$56:$K$346,5,0)&amp;""</f>
        <v>Based on the response to REQU-03 on the "START HERE" tab, this question does not apply to this product or service.</v>
      </c>
      <c r="F154" s="195" t="str">
        <f>VLOOKUP($A154,'Institution Evaluation'!$A$56:$K$346,6,0)&amp;""</f>
        <v/>
      </c>
      <c r="G154" s="37" t="str">
        <f>VLOOKUP($A154,'Institution Evaluation'!$A$56:$K$346,7,0)&amp;""</f>
        <v>Yes</v>
      </c>
      <c r="H154" s="192" t="str">
        <f>VLOOKUP($A154,'Institution Evaluation'!$A$56:$K$346,8,0)&amp;""</f>
        <v/>
      </c>
      <c r="I154" s="52" t="str">
        <f>VLOOKUP($A154,'Institution Evaluation'!$A$56:$K$346,9,0)&amp;""</f>
        <v>Critical Importance</v>
      </c>
      <c r="J154" s="193" t="str">
        <f>VLOOKUP($A154,'Institution Evaluation'!$A$56:$K$346,10,0)&amp;""</f>
        <v/>
      </c>
      <c r="K154" s="55" t="str">
        <f>IF(VLOOKUP($A154,'Institution Evaluation'!$A$56:$K$346,10,0)=TRUE,"Yes","")</f>
        <v/>
      </c>
    </row>
    <row r="155" spans="1:11" ht="102">
      <c r="A155" s="25" t="s">
        <v>155</v>
      </c>
      <c r="B155" s="24" t="str">
        <f>VLOOKUP($A155,Questions!$A$2:$X$333,2,0)</f>
        <v>Will the consulting take place on-premises?</v>
      </c>
      <c r="C155" s="52" t="str">
        <f>VLOOKUP($A155,'Institution Evaluation'!$A$56:$K$346,3,0)&amp;""</f>
        <v/>
      </c>
      <c r="D155" s="52" t="str">
        <f>VLOOKUP($A155,'Institution Evaluation'!$A$56:$K$346,4,0)&amp;""</f>
        <v/>
      </c>
      <c r="E155" s="350" t="str">
        <f>VLOOKUP($A155,'Institution Evaluation'!$A$56:$K$346,5,0)&amp;""</f>
        <v>Based on the response to REQU-03 on the "START HERE" tab, this question does not apply to this product or service.</v>
      </c>
      <c r="F155" s="195" t="str">
        <f>VLOOKUP($A155,'Institution Evaluation'!$A$56:$K$346,6,0)&amp;""</f>
        <v/>
      </c>
      <c r="G155" s="37" t="str">
        <f>VLOOKUP($A155,'Institution Evaluation'!$A$56:$K$346,7,0)&amp;""</f>
        <v>No</v>
      </c>
      <c r="H155" s="192" t="str">
        <f>VLOOKUP($A155,'Institution Evaluation'!$A$56:$K$346,8,0)&amp;""</f>
        <v/>
      </c>
      <c r="I155" s="52" t="str">
        <f>VLOOKUP($A155,'Institution Evaluation'!$A$56:$K$346,9,0)&amp;""</f>
        <v>Standard Importance</v>
      </c>
      <c r="J155" s="193" t="str">
        <f>VLOOKUP($A155,'Institution Evaluation'!$A$56:$K$346,10,0)&amp;""</f>
        <v/>
      </c>
      <c r="K155" s="55" t="str">
        <f>IF(VLOOKUP($A155,'Institution Evaluation'!$A$56:$K$346,10,0)=TRUE,"Yes","")</f>
        <v/>
      </c>
    </row>
    <row r="156" spans="1:11" ht="102">
      <c r="A156" s="25" t="s">
        <v>156</v>
      </c>
      <c r="B156" s="24" t="str">
        <f>VLOOKUP($A156,Questions!$A$2:$X$333,2,0)</f>
        <v>Will the consultant require access to hardware in the institution's data centers?</v>
      </c>
      <c r="C156" s="52" t="str">
        <f>VLOOKUP($A156,'Institution Evaluation'!$A$56:$K$346,3,0)&amp;""</f>
        <v/>
      </c>
      <c r="D156" s="52" t="str">
        <f>VLOOKUP($A156,'Institution Evaluation'!$A$56:$K$346,4,0)&amp;""</f>
        <v/>
      </c>
      <c r="E156" s="350" t="str">
        <f>VLOOKUP($A156,'Institution Evaluation'!$A$56:$K$346,5,0)&amp;""</f>
        <v>Based on the response to REQU-03 on the "START HERE" tab, this question does not apply to this product or service.</v>
      </c>
      <c r="F156" s="195" t="str">
        <f>VLOOKUP($A156,'Institution Evaluation'!$A$56:$K$346,6,0)&amp;""</f>
        <v/>
      </c>
      <c r="G156" s="37" t="str">
        <f>VLOOKUP($A156,'Institution Evaluation'!$A$56:$K$346,7,0)&amp;""</f>
        <v>No</v>
      </c>
      <c r="H156" s="192" t="str">
        <f>VLOOKUP($A156,'Institution Evaluation'!$A$56:$K$346,8,0)&amp;""</f>
        <v/>
      </c>
      <c r="I156" s="52" t="str">
        <f>VLOOKUP($A156,'Institution Evaluation'!$A$56:$K$346,9,0)&amp;""</f>
        <v>Standard Importance</v>
      </c>
      <c r="J156" s="193" t="str">
        <f>VLOOKUP($A156,'Institution Evaluation'!$A$56:$K$346,10,0)&amp;""</f>
        <v/>
      </c>
      <c r="K156" s="55" t="str">
        <f>IF(VLOOKUP($A156,'Institution Evaluation'!$A$56:$K$346,10,0)=TRUE,"Yes","")</f>
        <v/>
      </c>
    </row>
    <row r="157" spans="1:11" ht="102">
      <c r="A157" s="25" t="s">
        <v>159</v>
      </c>
      <c r="B157" s="24" t="str">
        <f>VLOOKUP($A157,Questions!$A$2:$X$333,2,0)</f>
        <v>Will the consultant require an account within the institution's domain (@*.edu)?</v>
      </c>
      <c r="C157" s="52" t="str">
        <f>VLOOKUP($A157,'Institution Evaluation'!$A$56:$K$346,3,0)&amp;""</f>
        <v/>
      </c>
      <c r="D157" s="52" t="str">
        <f>VLOOKUP($A157,'Institution Evaluation'!$A$56:$K$346,4,0)&amp;""</f>
        <v/>
      </c>
      <c r="E157" s="350" t="str">
        <f>VLOOKUP($A157,'Institution Evaluation'!$A$56:$K$346,5,0)&amp;""</f>
        <v>Based on the response to REQU-03 on the "START HERE" tab, this question does not apply to this product or service.</v>
      </c>
      <c r="F157" s="195" t="str">
        <f>VLOOKUP($A157,'Institution Evaluation'!$A$56:$K$346,6,0)&amp;""</f>
        <v/>
      </c>
      <c r="G157" s="37" t="str">
        <f>VLOOKUP($A157,'Institution Evaluation'!$A$56:$K$346,7,0)&amp;""</f>
        <v>No</v>
      </c>
      <c r="H157" s="192" t="str">
        <f>VLOOKUP($A157,'Institution Evaluation'!$A$56:$K$346,8,0)&amp;""</f>
        <v/>
      </c>
      <c r="I157" s="52" t="str">
        <f>VLOOKUP($A157,'Institution Evaluation'!$A$56:$K$346,9,0)&amp;""</f>
        <v>Standard Importance</v>
      </c>
      <c r="J157" s="193" t="str">
        <f>VLOOKUP($A157,'Institution Evaluation'!$A$56:$K$346,10,0)&amp;""</f>
        <v/>
      </c>
      <c r="K157" s="55" t="str">
        <f>IF(VLOOKUP($A157,'Institution Evaluation'!$A$56:$K$346,10,0)=TRUE,"Yes","")</f>
        <v/>
      </c>
    </row>
    <row r="158" spans="1:11" ht="102">
      <c r="A158" s="25" t="s">
        <v>160</v>
      </c>
      <c r="B158" s="24" t="str">
        <f>VLOOKUP($A158,Questions!$A$2:$X$333,2,0)</f>
        <v>Will any data be transferred to the consultant's possession?</v>
      </c>
      <c r="C158" s="52" t="str">
        <f>VLOOKUP($A158,'Institution Evaluation'!$A$56:$K$346,3,0)&amp;""</f>
        <v/>
      </c>
      <c r="D158" s="52" t="str">
        <f>VLOOKUP($A158,'Institution Evaluation'!$A$56:$K$346,4,0)&amp;""</f>
        <v/>
      </c>
      <c r="E158" s="350" t="str">
        <f>VLOOKUP($A158,'Institution Evaluation'!$A$56:$K$346,5,0)&amp;""</f>
        <v>Based on the response to REQU-03 on the "START HERE" tab, this question does not apply to this product or service.</v>
      </c>
      <c r="F158" s="195" t="str">
        <f>VLOOKUP($A158,'Institution Evaluation'!$A$56:$K$346,6,0)&amp;""</f>
        <v/>
      </c>
      <c r="G158" s="37" t="str">
        <f>VLOOKUP($A158,'Institution Evaluation'!$A$56:$K$346,7,0)&amp;""</f>
        <v>No</v>
      </c>
      <c r="H158" s="192" t="str">
        <f>VLOOKUP($A158,'Institution Evaluation'!$A$56:$K$346,8,0)&amp;""</f>
        <v/>
      </c>
      <c r="I158" s="52" t="str">
        <f>VLOOKUP($A158,'Institution Evaluation'!$A$56:$K$346,9,0)&amp;""</f>
        <v>Standard Importance</v>
      </c>
      <c r="J158" s="193" t="str">
        <f>VLOOKUP($A158,'Institution Evaluation'!$A$56:$K$346,10,0)&amp;""</f>
        <v/>
      </c>
      <c r="K158" s="55" t="str">
        <f>IF(VLOOKUP($A158,'Institution Evaluation'!$A$56:$K$346,10,0)=TRUE,"Yes","")</f>
        <v/>
      </c>
    </row>
    <row r="159" spans="1:11" ht="102">
      <c r="A159" s="25" t="s">
        <v>163</v>
      </c>
      <c r="B159" s="24" t="str">
        <f>VLOOKUP($A159,Questions!$A$2:$X$333,2,0)</f>
        <v>Will the consultant need remote access to the institution's network or systems?</v>
      </c>
      <c r="C159" s="52" t="str">
        <f>VLOOKUP($A159,'Institution Evaluation'!$A$56:$K$346,3,0)&amp;""</f>
        <v/>
      </c>
      <c r="D159" s="52" t="str">
        <f>VLOOKUP($A159,'Institution Evaluation'!$A$56:$K$346,4,0)&amp;""</f>
        <v/>
      </c>
      <c r="E159" s="350" t="str">
        <f>VLOOKUP($A159,'Institution Evaluation'!$A$56:$K$346,5,0)&amp;""</f>
        <v>Based on the response to REQU-03 on the "START HERE" tab, this question does not apply to this product or service.</v>
      </c>
      <c r="F159" s="195" t="str">
        <f>VLOOKUP($A159,'Institution Evaluation'!$A$56:$K$346,6,0)&amp;""</f>
        <v/>
      </c>
      <c r="G159" s="37" t="str">
        <f>VLOOKUP($A159,'Institution Evaluation'!$A$56:$K$346,7,0)&amp;""</f>
        <v>No</v>
      </c>
      <c r="H159" s="192" t="str">
        <f>VLOOKUP($A159,'Institution Evaluation'!$A$56:$K$346,8,0)&amp;""</f>
        <v/>
      </c>
      <c r="I159" s="52" t="str">
        <f>VLOOKUP($A159,'Institution Evaluation'!$A$56:$K$346,9,0)&amp;""</f>
        <v>Standard Importance</v>
      </c>
      <c r="J159" s="193" t="str">
        <f>VLOOKUP($A159,'Institution Evaluation'!$A$56:$K$346,10,0)&amp;""</f>
        <v/>
      </c>
      <c r="K159" s="55" t="str">
        <f>IF(VLOOKUP($A159,'Institution Evaluation'!$A$56:$K$346,10,0)=TRUE,"Yes","")</f>
        <v/>
      </c>
    </row>
    <row r="160" spans="1:11" s="1" customFormat="1" ht="18">
      <c r="A160" s="70" t="str">
        <f>VLOOKUP(LEFT($A161,4),'Auto Responses'!$N$4:$O$38,2,0)&amp;""</f>
        <v xml:space="preserve"> Application/Service Security</v>
      </c>
      <c r="B160" s="29"/>
      <c r="C160" s="38"/>
      <c r="D160" s="38"/>
      <c r="E160" s="351"/>
      <c r="F160" s="139" t="s">
        <v>1089</v>
      </c>
      <c r="G160" s="358" t="s">
        <v>925</v>
      </c>
      <c r="H160" s="358" t="s">
        <v>927</v>
      </c>
      <c r="I160" s="358" t="s">
        <v>19</v>
      </c>
      <c r="J160" s="358" t="s">
        <v>912</v>
      </c>
      <c r="K160" s="38"/>
    </row>
    <row r="161" spans="1:11" ht="68">
      <c r="A161" s="25" t="s">
        <v>164</v>
      </c>
      <c r="B161" s="24" t="str">
        <f>VLOOKUP($A161,Questions!$A$2:$X$333,2,0)</f>
        <v>Are access controls for institutional accounts based on structured rules, such as role-based access control (RBAC), attribute-based access control (ABAC), or policy-based access control (PBAC)?*</v>
      </c>
      <c r="C161" s="52" t="str">
        <f>VLOOKUP($A161,'Institution Evaluation'!$A$56:$K$346,3,0)&amp;""</f>
        <v>yes</v>
      </c>
      <c r="D161" s="52" t="str">
        <f>VLOOKUP($A161,'Institution Evaluation'!$A$56:$K$346,4,0)&amp;""</f>
        <v>Handled by hosting provider (Liquid Web LLC, SOC 2 report available)”.</v>
      </c>
      <c r="E161" s="350" t="str">
        <f>VLOOKUP($A161,'Institution Evaluation'!$A$56:$K$346,5,0)&amp;""</f>
        <v>Describe available roles.</v>
      </c>
      <c r="F161" s="195" t="str">
        <f>VLOOKUP($A161,'Institution Evaluation'!$A$56:$K$346,6,0)&amp;""</f>
        <v/>
      </c>
      <c r="G161" s="37" t="str">
        <f>VLOOKUP($A161,'Institution Evaluation'!$A$56:$K$346,7,0)&amp;""</f>
        <v>Yes</v>
      </c>
      <c r="H161" s="192" t="str">
        <f>VLOOKUP($A161,'Institution Evaluation'!$A$56:$K$346,8,0)&amp;""</f>
        <v/>
      </c>
      <c r="I161" s="52" t="str">
        <f>VLOOKUP($A161,'Institution Evaluation'!$A$56:$K$346,9,0)&amp;""</f>
        <v>Critical Importance</v>
      </c>
      <c r="J161" s="193" t="str">
        <f>VLOOKUP($A161,'Institution Evaluation'!$A$56:$K$346,10,0)&amp;""</f>
        <v/>
      </c>
      <c r="K161" s="55" t="str">
        <f>IF(VLOOKUP($A161,'Institution Evaluation'!$A$56:$K$346,10,0)=TRUE,"Yes","")</f>
        <v/>
      </c>
    </row>
    <row r="162" spans="1:11" ht="68">
      <c r="A162" s="25" t="s">
        <v>169</v>
      </c>
      <c r="B162" s="24" t="str">
        <f>VLOOKUP($A162,Questions!$A$2:$X$333,2,0)</f>
        <v>Are you using a web application firewall (WAF)?*</v>
      </c>
      <c r="C162" s="52" t="str">
        <f>VLOOKUP($A162,'Institution Evaluation'!$A$56:$K$346,3,0)&amp;""</f>
        <v>yes</v>
      </c>
      <c r="D162" s="52" t="str">
        <f>VLOOKUP($A162,'Institution Evaluation'!$A$56:$K$346,4,0)&amp;""</f>
        <v>Handled by hosting provider (Liquid Web LLC, SOC 2 report available)”.</v>
      </c>
      <c r="E162" s="350" t="str">
        <f>VLOOKUP($A162,'Institution Evaluation'!$A$56:$K$346,5,0)&amp;""</f>
        <v>Describe the currently implemented WAF.</v>
      </c>
      <c r="F162" s="195" t="str">
        <f>VLOOKUP($A162,'Institution Evaluation'!$A$56:$K$346,6,0)&amp;""</f>
        <v/>
      </c>
      <c r="G162" s="37" t="str">
        <f>VLOOKUP($A162,'Institution Evaluation'!$A$56:$K$346,7,0)&amp;""</f>
        <v>Yes</v>
      </c>
      <c r="H162" s="192" t="str">
        <f>VLOOKUP($A162,'Institution Evaluation'!$A$56:$K$346,8,0)&amp;""</f>
        <v/>
      </c>
      <c r="I162" s="52" t="str">
        <f>VLOOKUP($A162,'Institution Evaluation'!$A$56:$K$346,9,0)&amp;""</f>
        <v>Critical Importance</v>
      </c>
      <c r="J162" s="193" t="str">
        <f>VLOOKUP($A162,'Institution Evaluation'!$A$56:$K$346,10,0)&amp;""</f>
        <v/>
      </c>
      <c r="K162" s="55" t="str">
        <f>IF(VLOOKUP($A162,'Institution Evaluation'!$A$56:$K$346,10,0)=TRUE,"Yes","")</f>
        <v/>
      </c>
    </row>
    <row r="163" spans="1:11" ht="45">
      <c r="A163" s="25" t="s">
        <v>196</v>
      </c>
      <c r="B163" s="24" t="str">
        <f>VLOOKUP($A163,Questions!$A$2:$X$333,2,0)</f>
        <v>Are access controls for staff within your organization based on structured rules, such as RBAC, ABAC, or PBAC?</v>
      </c>
      <c r="C163" s="52" t="str">
        <f>VLOOKUP($A163,'Institution Evaluation'!$A$56:$K$346,3,0)&amp;""</f>
        <v>yes</v>
      </c>
      <c r="D163" s="52" t="str">
        <f>VLOOKUP($A163,'Institution Evaluation'!$A$56:$K$346,4,0)&amp;""</f>
        <v/>
      </c>
      <c r="E163" s="350" t="str">
        <f>VLOOKUP($A163,'Institution Evaluation'!$A$56:$K$346,5,0)&amp;""</f>
        <v/>
      </c>
      <c r="F163" s="195" t="str">
        <f>VLOOKUP($A163,'Institution Evaluation'!$A$56:$K$346,6,0)&amp;""</f>
        <v/>
      </c>
      <c r="G163" s="37" t="str">
        <f>VLOOKUP($A163,'Institution Evaluation'!$A$56:$K$346,7,0)&amp;""</f>
        <v>Yes</v>
      </c>
      <c r="H163" s="192" t="str">
        <f>VLOOKUP($A163,'Institution Evaluation'!$A$56:$K$346,8,0)&amp;""</f>
        <v/>
      </c>
      <c r="I163" s="52" t="str">
        <f>VLOOKUP($A163,'Institution Evaluation'!$A$56:$K$346,9,0)&amp;""</f>
        <v>Standard Importance</v>
      </c>
      <c r="J163" s="193" t="str">
        <f>VLOOKUP($A163,'Institution Evaluation'!$A$56:$K$346,10,0)&amp;""</f>
        <v/>
      </c>
      <c r="K163" s="55" t="str">
        <f>IF(VLOOKUP($A163,'Institution Evaluation'!$A$56:$K$346,10,0)=TRUE,"Yes","")</f>
        <v/>
      </c>
    </row>
    <row r="164" spans="1:11" s="1" customFormat="1" ht="18">
      <c r="A164" s="70" t="str">
        <f>VLOOKUP(LEFT($A165,4),'Auto Responses'!$N$4:$O$38,2,0)&amp;""</f>
        <v xml:space="preserve"> Authentication, Authorization, and Account Management</v>
      </c>
      <c r="B164" s="29"/>
      <c r="C164" s="38"/>
      <c r="D164" s="38"/>
      <c r="E164" s="351"/>
      <c r="F164" s="139" t="s">
        <v>1089</v>
      </c>
      <c r="G164" s="358" t="s">
        <v>925</v>
      </c>
      <c r="H164" s="358" t="s">
        <v>927</v>
      </c>
      <c r="I164" s="358" t="s">
        <v>19</v>
      </c>
      <c r="J164" s="358" t="s">
        <v>912</v>
      </c>
      <c r="K164" s="38"/>
    </row>
    <row r="165" spans="1:11" ht="272">
      <c r="A165" s="25" t="s">
        <v>222</v>
      </c>
      <c r="B165" s="24" t="str">
        <f>VLOOKUP($A165,Questions!$A$2:$X$333,2,0)</f>
        <v>Does your solution support single sign-on (SSO) protocols for user and administrator authentication?*</v>
      </c>
      <c r="C165" s="52" t="str">
        <f>VLOOKUP($A165,'Institution Evaluation'!$A$56:$K$346,3,0)&amp;""</f>
        <v>no</v>
      </c>
      <c r="D165" s="52" t="str">
        <f>VLOOKUP($A165,'Institution Evaluation'!$A$56:$K$346,4,0)&amp;""</f>
        <v>TalEval and Discovery Pro do not currently support institution-wide SSO. These applications are typically deployed within individual academic departments with relatively small user populations. Strong local authentication controls are provided, including unique user accounts, configurable password policies, automatic session timeouts, and account lockout after repeated failed login attempts. Optional MFA is also available</v>
      </c>
      <c r="E165" s="350" t="str">
        <f>VLOOKUP($A165,'Institution Evaluation'!$A$56:$K$346,5,0)&amp;""</f>
        <v>Describe plans to support strong authentication practices.</v>
      </c>
      <c r="F165" s="195" t="str">
        <f>VLOOKUP($A165,'Institution Evaluation'!$A$56:$K$346,6,0)&amp;""</f>
        <v/>
      </c>
      <c r="G165" s="37" t="str">
        <f>VLOOKUP($A165,'Institution Evaluation'!$A$56:$K$346,7,0)&amp;""</f>
        <v>Yes</v>
      </c>
      <c r="H165" s="192" t="str">
        <f>VLOOKUP($A165,'Institution Evaluation'!$A$56:$K$346,8,0)&amp;""</f>
        <v/>
      </c>
      <c r="I165" s="52" t="str">
        <f>VLOOKUP($A165,'Institution Evaluation'!$A$56:$K$346,9,0)&amp;""</f>
        <v>Critical Importance</v>
      </c>
      <c r="J165" s="193" t="str">
        <f>VLOOKUP($A165,'Institution Evaluation'!$A$56:$K$346,10,0)&amp;""</f>
        <v/>
      </c>
      <c r="K165" s="55" t="str">
        <f>IF(VLOOKUP($A165,'Institution Evaluation'!$A$56:$K$346,10,0)=TRUE,"Yes","")</f>
        <v/>
      </c>
    </row>
    <row r="166" spans="1:11" ht="289">
      <c r="A166" s="25" t="s">
        <v>227</v>
      </c>
      <c r="B166" s="24" t="str">
        <f>VLOOKUP($A166,Questions!$A$2:$X$333,2,0)</f>
        <v>For customers not using SSO, does your solution support local authentication protocols for user and administrator authentication?*</v>
      </c>
      <c r="C166" s="52" t="str">
        <f>VLOOKUP($A166,'Institution Evaluation'!$A$56:$K$346,3,0)&amp;""</f>
        <v>yes</v>
      </c>
      <c r="D166" s="52" t="str">
        <f>VLOOKUP($A166,'Institution Evaluation'!$A$56:$K$346,4,0)&amp;""</f>
        <v>Each account is assigned a unique username and password. Administrators may configure password policies, and optional multi-factor authentication (MFA) is available.</v>
      </c>
      <c r="E166" s="350" t="str">
        <f>VLOOKUP($A166,'Institution Evaluation'!$A$56:$K$346,5,0)&amp;""</f>
        <v>Provide a detailed description of your local authentication mode practices.</v>
      </c>
      <c r="F166" s="195" t="str">
        <f>VLOOKUP($A166,'Institution Evaluation'!$A$56:$K$346,6,0)&amp;""</f>
        <v/>
      </c>
      <c r="G166" s="37" t="str">
        <f>VLOOKUP($A166,'Institution Evaluation'!$A$56:$K$346,7,0)&amp;""</f>
        <v>Yes</v>
      </c>
      <c r="H166" s="192" t="str">
        <f>VLOOKUP($A166,'Institution Evaluation'!$A$56:$K$346,8,0)&amp;""</f>
        <v/>
      </c>
      <c r="I166" s="52" t="str">
        <f>VLOOKUP($A166,'Institution Evaluation'!$A$56:$K$346,9,0)&amp;""</f>
        <v>Critical Importance</v>
      </c>
      <c r="J166" s="193" t="str">
        <f>VLOOKUP($A166,'Institution Evaluation'!$A$56:$K$346,10,0)&amp;""</f>
        <v/>
      </c>
      <c r="K166" s="55" t="str">
        <f>IF(VLOOKUP($A166,'Institution Evaluation'!$A$56:$K$346,10,0)=TRUE,"Yes","")</f>
        <v/>
      </c>
    </row>
    <row r="167" spans="1:11" ht="119">
      <c r="A167" s="25" t="s">
        <v>259</v>
      </c>
      <c r="B167" s="24" t="str">
        <f>VLOOKUP($A167,Questions!$A$2:$X$333,2,0)</f>
        <v>For customers not using SSO, does your application support integration with other authentication and authorization systems?</v>
      </c>
      <c r="C167" s="52" t="str">
        <f>VLOOKUP($A167,'Institution Evaluation'!$A$56:$K$346,3,0)&amp;""</f>
        <v>no</v>
      </c>
      <c r="D167" s="52" t="str">
        <f>VLOOKUP($A167,'Institution Evaluation'!$A$56:$K$346,4,0)&amp;""</f>
        <v>No. TalEval and Discovery Pro use built-in local authentication and do not currently integrate with external authentication or authorization systems.</v>
      </c>
      <c r="E167" s="350" t="str">
        <f>VLOOKUP($A167,'Institution Evaluation'!$A$56:$K$346,5,0)&amp;""</f>
        <v>Describe any plans to support integration with other authentication and authorization systems.</v>
      </c>
      <c r="F167" s="195" t="str">
        <f>VLOOKUP($A167,'Institution Evaluation'!$A$56:$K$346,6,0)&amp;""</f>
        <v/>
      </c>
      <c r="G167" s="37" t="str">
        <f>VLOOKUP($A167,'Institution Evaluation'!$A$56:$K$346,7,0)&amp;""</f>
        <v>Yes</v>
      </c>
      <c r="H167" s="192" t="str">
        <f>VLOOKUP($A167,'Institution Evaluation'!$A$56:$K$346,8,0)&amp;""</f>
        <v/>
      </c>
      <c r="I167" s="52" t="str">
        <f>VLOOKUP($A167,'Institution Evaluation'!$A$56:$K$346,9,0)&amp;""</f>
        <v>Standard Importance</v>
      </c>
      <c r="J167" s="193" t="str">
        <f>VLOOKUP($A167,'Institution Evaluation'!$A$56:$K$346,10,0)&amp;""</f>
        <v/>
      </c>
      <c r="K167" s="55" t="str">
        <f>IF(VLOOKUP($A167,'Institution Evaluation'!$A$56:$K$346,10,0)=TRUE,"Yes","")</f>
        <v/>
      </c>
    </row>
    <row r="168" spans="1:11" ht="60">
      <c r="A168" s="25" t="s">
        <v>261</v>
      </c>
      <c r="B168" s="24" t="str">
        <f>VLOOKUP($A168,Questions!$A$2:$X$333,2,0)</f>
        <v>Do you allow the customer to specify attribute mappings for any needed information beyond a user identifier? (e.g., Reference eduPerson, ePPA/ePPN/ePE)</v>
      </c>
      <c r="C168" s="52" t="str">
        <f>VLOOKUP($A168,'Institution Evaluation'!$A$56:$K$346,3,0)&amp;""</f>
        <v>no</v>
      </c>
      <c r="D168" s="52" t="str">
        <f>VLOOKUP($A168,'Institution Evaluation'!$A$56:$K$346,4,0)&amp;""</f>
        <v>Those attribute mappings are typically used with identity federation systems, which ASC doesn't currently support</v>
      </c>
      <c r="E168" s="350" t="str">
        <f>VLOOKUP($A168,'Institution Evaluation'!$A$56:$K$346,5,0)&amp;""</f>
        <v>Describe plans to allow customers to specify attribute mappings.</v>
      </c>
      <c r="F168" s="195" t="str">
        <f>VLOOKUP($A168,'Institution Evaluation'!$A$56:$K$346,6,0)&amp;""</f>
        <v/>
      </c>
      <c r="G168" s="37" t="str">
        <f>VLOOKUP($A168,'Institution Evaluation'!$A$56:$K$346,7,0)&amp;""</f>
        <v>Yes</v>
      </c>
      <c r="H168" s="192" t="str">
        <f>VLOOKUP($A168,'Institution Evaluation'!$A$56:$K$346,8,0)&amp;""</f>
        <v/>
      </c>
      <c r="I168" s="52" t="str">
        <f>VLOOKUP($A168,'Institution Evaluation'!$A$56:$K$346,9,0)&amp;""</f>
        <v>Standard Importance</v>
      </c>
      <c r="J168" s="193" t="str">
        <f>VLOOKUP($A168,'Institution Evaluation'!$A$56:$K$346,10,0)&amp;""</f>
        <v/>
      </c>
      <c r="K168" s="55" t="str">
        <f>IF(VLOOKUP($A168,'Institution Evaluation'!$A$56:$K$346,10,0)=TRUE,"Yes","")</f>
        <v/>
      </c>
    </row>
    <row r="169" spans="1:11" ht="323">
      <c r="A169" s="25" t="s">
        <v>274</v>
      </c>
      <c r="B169" s="24" t="str">
        <f>VLOOKUP($A169,Questions!$A$2:$X$333,2,0)</f>
        <v>For customers not using SSO, does your application and/or user frontend/portal support multifactor authentication (e.g., Duo, Google Authenticator, OTP, etc.)?</v>
      </c>
      <c r="C169" s="52" t="str">
        <f>VLOOKUP($A169,'Institution Evaluation'!$A$56:$K$346,3,0)&amp;""</f>
        <v>no</v>
      </c>
      <c r="D169" s="52" t="str">
        <f>VLOOKUP($A169,'Institution Evaluation'!$A$56:$K$346,4,0)&amp;""</f>
        <v/>
      </c>
      <c r="E169" s="350" t="str">
        <f>VLOOKUP($A169,'Institution Evaluation'!$A$56:$K$346,5,0)&amp;""</f>
        <v>Based on the response to AAAI-01, this question does not apply to this product or service.</v>
      </c>
      <c r="F169" s="195" t="str">
        <f>VLOOKUP($A169,'Institution Evaluation'!$A$56:$K$346,6,0)&amp;""</f>
        <v/>
      </c>
      <c r="G169" s="37" t="str">
        <f>VLOOKUP($A169,'Institution Evaluation'!$A$56:$K$346,7,0)&amp;""</f>
        <v>Yes</v>
      </c>
      <c r="H169" s="192" t="str">
        <f>VLOOKUP($A169,'Institution Evaluation'!$A$56:$K$346,8,0)&amp;""</f>
        <v/>
      </c>
      <c r="I169" s="52" t="str">
        <f>VLOOKUP($A169,'Institution Evaluation'!$A$56:$K$346,9,0)&amp;""</f>
        <v>Minor Importance</v>
      </c>
      <c r="J169" s="193" t="str">
        <f>VLOOKUP($A169,'Institution Evaluation'!$A$56:$K$346,10,0)&amp;""</f>
        <v/>
      </c>
      <c r="K169" s="55" t="str">
        <f>IF(VLOOKUP($A169,'Institution Evaluation'!$A$56:$K$346,10,0)=TRUE,"Yes","")</f>
        <v/>
      </c>
    </row>
    <row r="170" spans="1:11" s="1" customFormat="1" ht="18">
      <c r="A170" s="70" t="str">
        <f>VLOOKUP(LEFT($A171,4),'Auto Responses'!$N$4:$O$38,2,0)&amp;""</f>
        <v xml:space="preserve"> Change Management</v>
      </c>
      <c r="B170" s="29"/>
      <c r="C170" s="38"/>
      <c r="D170" s="38"/>
      <c r="E170" s="351"/>
      <c r="F170" s="139" t="s">
        <v>1089</v>
      </c>
      <c r="G170" s="358" t="s">
        <v>925</v>
      </c>
      <c r="H170" s="358" t="s">
        <v>927</v>
      </c>
      <c r="I170" s="358" t="s">
        <v>19</v>
      </c>
      <c r="J170" s="358" t="s">
        <v>912</v>
      </c>
      <c r="K170" s="38"/>
    </row>
    <row r="171" spans="1:11" ht="170">
      <c r="A171" s="25" t="s">
        <v>280</v>
      </c>
      <c r="B171" s="24" t="str">
        <f>VLOOKUP($A171,Questions!$A$2:$X$333,2,0)</f>
        <v>Will the institution be notified of major changes to your environment that could impact the institution's security posture?*</v>
      </c>
      <c r="C171" s="52" t="str">
        <f>VLOOKUP($A171,'Institution Evaluation'!$A$56:$K$346,3,0)&amp;""</f>
        <v>yes</v>
      </c>
      <c r="D171" s="52" t="str">
        <f>VLOOKUP($A171,'Institution Evaluation'!$A$56:$K$346,4,0)&amp;""</f>
        <v>America’s Software Corporation provides at least 60 days’ notice prior to such changes. Routine software updates and enhancements are applied without impacting security or institutional data</v>
      </c>
      <c r="E171" s="350" t="str">
        <f>VLOOKUP($A171,'Institution Evaluation'!$A$56:$K$346,5,0)&amp;""</f>
        <v>State how and when the institution will be notified of major changes to your environment.</v>
      </c>
      <c r="F171" s="195" t="str">
        <f>VLOOKUP($A171,'Institution Evaluation'!$A$56:$K$346,6,0)&amp;""</f>
        <v/>
      </c>
      <c r="G171" s="37" t="str">
        <f>VLOOKUP($A171,'Institution Evaluation'!$A$56:$K$346,7,0)&amp;""</f>
        <v>Yes</v>
      </c>
      <c r="H171" s="192" t="str">
        <f>VLOOKUP($A171,'Institution Evaluation'!$A$56:$K$346,8,0)&amp;""</f>
        <v/>
      </c>
      <c r="I171" s="52" t="str">
        <f>VLOOKUP($A171,'Institution Evaluation'!$A$56:$K$346,9,0)&amp;""</f>
        <v>Critical Importance</v>
      </c>
      <c r="J171" s="193" t="str">
        <f>VLOOKUP($A171,'Institution Evaluation'!$A$56:$K$346,10,0)&amp;""</f>
        <v/>
      </c>
      <c r="K171" s="55" t="str">
        <f>IF(VLOOKUP($A171,'Institution Evaluation'!$A$56:$K$346,10,0)=TRUE,"Yes","")</f>
        <v/>
      </c>
    </row>
    <row r="172" spans="1:11" ht="119">
      <c r="A172" s="25" t="s">
        <v>285</v>
      </c>
      <c r="B172" s="24" t="str">
        <f>VLOOKUP($A172,Questions!$A$2:$X$333,2,0)</f>
        <v>Does the system support client customizations from one release to another?*</v>
      </c>
      <c r="C172" s="52" t="str">
        <f>VLOOKUP($A172,'Institution Evaluation'!$A$56:$K$346,3,0)&amp;""</f>
        <v>yes</v>
      </c>
      <c r="D172" s="52" t="str">
        <f>VLOOKUP($A172,'Institution Evaluation'!$A$56:$K$346,4,0)&amp;""</f>
        <v>Customer-specific configuration settings and customizations are stored separately from application code and are preserved during software upgrades. Product updates do not overwrite customer configuration data.</v>
      </c>
      <c r="E172" s="350" t="str">
        <f>VLOOKUP($A172,'Institution Evaluation'!$A$56:$K$346,5,0)&amp;""</f>
        <v>Describe or provide reference to your solution support strategy in regard to maintaining client customizations from one release to another.</v>
      </c>
      <c r="F172" s="195" t="str">
        <f>VLOOKUP($A172,'Institution Evaluation'!$A$56:$K$346,6,0)&amp;""</f>
        <v/>
      </c>
      <c r="G172" s="37" t="str">
        <f>VLOOKUP($A172,'Institution Evaluation'!$A$56:$K$346,7,0)&amp;""</f>
        <v>Yes</v>
      </c>
      <c r="H172" s="192" t="str">
        <f>VLOOKUP($A172,'Institution Evaluation'!$A$56:$K$346,8,0)&amp;""</f>
        <v/>
      </c>
      <c r="I172" s="52" t="str">
        <f>VLOOKUP($A172,'Institution Evaluation'!$A$56:$K$346,9,0)&amp;""</f>
        <v>Critical Importance</v>
      </c>
      <c r="J172" s="193" t="str">
        <f>VLOOKUP($A172,'Institution Evaluation'!$A$56:$K$346,10,0)&amp;""</f>
        <v/>
      </c>
      <c r="K172" s="55" t="str">
        <f>IF(VLOOKUP($A172,'Institution Evaluation'!$A$56:$K$346,10,0)=TRUE,"Yes","")</f>
        <v/>
      </c>
    </row>
    <row r="173" spans="1:11" s="1" customFormat="1" ht="18">
      <c r="A173" s="70" t="str">
        <f>VLOOKUP(LEFT($A174,4),'Auto Responses'!$N$4:$O$38,2,0)&amp;""</f>
        <v xml:space="preserve"> Data</v>
      </c>
      <c r="B173" s="29"/>
      <c r="C173" s="38"/>
      <c r="D173" s="38"/>
      <c r="E173" s="351"/>
      <c r="F173" s="139" t="s">
        <v>1089</v>
      </c>
      <c r="G173" s="358" t="s">
        <v>925</v>
      </c>
      <c r="H173" s="358" t="s">
        <v>927</v>
      </c>
      <c r="I173" s="358" t="s">
        <v>19</v>
      </c>
      <c r="J173" s="358" t="s">
        <v>912</v>
      </c>
      <c r="K173" s="38"/>
    </row>
    <row r="174" spans="1:11" ht="221">
      <c r="A174" s="25" t="s">
        <v>343</v>
      </c>
      <c r="B174" s="24" t="str">
        <f>VLOOKUP($A174,Questions!$A$2:$X$333,2,0)</f>
        <v>Is the storage of sensitive data encrypted using security protocols/algorithms (e.g., disk encryption, at-rest, files, and within a running database)?*</v>
      </c>
      <c r="C174" s="52" t="str">
        <f>VLOOKUP($A174,'Institution Evaluation'!$A$56:$K$346,3,0)&amp;""</f>
        <v>yes</v>
      </c>
      <c r="D174" s="52" t="str">
        <f>VLOOKUP($A174,'Institution Evaluation'!$A$56:$K$346,4,0)&amp;""</f>
        <v>Institutional data is encrypted at rest using industry-standard protocols. Hosting provider Liquid Web LLC (SOC 2 certified, HIPAA hosting features) implements disk and backup encryption to protect data at rest, in addition to encryption within databases as required</v>
      </c>
      <c r="E174" s="350" t="str">
        <f>VLOOKUP($A174,'Institution Evaluation'!$A$56:$K$346,5,0)&amp;""</f>
        <v>Summarize your data encryption strategy and state what encryption options are available.</v>
      </c>
      <c r="F174" s="195" t="str">
        <f>VLOOKUP($A174,'Institution Evaluation'!$A$56:$K$346,6,0)&amp;""</f>
        <v/>
      </c>
      <c r="G174" s="37" t="str">
        <f>VLOOKUP($A174,'Institution Evaluation'!$A$56:$K$346,7,0)&amp;""</f>
        <v>Yes</v>
      </c>
      <c r="H174" s="192" t="str">
        <f>VLOOKUP($A174,'Institution Evaluation'!$A$56:$K$346,8,0)&amp;""</f>
        <v/>
      </c>
      <c r="I174" s="52" t="str">
        <f>VLOOKUP($A174,'Institution Evaluation'!$A$56:$K$346,9,0)&amp;""</f>
        <v>Critical Importance</v>
      </c>
      <c r="J174" s="193" t="str">
        <f>VLOOKUP($A174,'Institution Evaluation'!$A$56:$K$346,10,0)&amp;""</f>
        <v/>
      </c>
      <c r="K174" s="55" t="str">
        <f>IF(VLOOKUP($A174,'Institution Evaluation'!$A$56:$K$346,10,0)=TRUE,"Yes","")</f>
        <v/>
      </c>
    </row>
    <row r="175" spans="1:11" ht="221">
      <c r="A175" s="25" t="s">
        <v>347</v>
      </c>
      <c r="B175" s="24" t="str">
        <f>VLOOKUP($A175,Questions!$A$2:$X$333,2,0)</f>
        <v>Do all cryptographic modules in use in your solution conform to the Federal Information Processing Standards (FIPS PUB 140-2 or 140-3)?*</v>
      </c>
      <c r="C175" s="52" t="str">
        <f>VLOOKUP($A175,'Institution Evaluation'!$A$56:$K$346,3,0)&amp;""</f>
        <v>yes</v>
      </c>
      <c r="D175" s="52" t="str">
        <f>VLOOKUP($A175,'Institution Evaluation'!$A$56:$K$346,4,0)&amp;""</f>
        <v>America’s Software Corporation relies on hosting provider Liquid Web LLC (SOC 2 certified), which implements industry-standard cryptographic modules that conform to FIPS 140-2/140-3 requirements. Data in transit uses TLS/SSL, and data at rest uses AES-based encryption</v>
      </c>
      <c r="E175" s="350" t="str">
        <f>VLOOKUP($A175,'Institution Evaluation'!$A$56:$K$346,5,0)&amp;""</f>
        <v>Provide reference to FIPS 140-3 validation certificates.</v>
      </c>
      <c r="F175" s="195" t="str">
        <f>VLOOKUP($A175,'Institution Evaluation'!$A$56:$K$346,6,0)&amp;""</f>
        <v/>
      </c>
      <c r="G175" s="37" t="str">
        <f>VLOOKUP($A175,'Institution Evaluation'!$A$56:$K$346,7,0)&amp;""</f>
        <v>Yes</v>
      </c>
      <c r="H175" s="192" t="str">
        <f>VLOOKUP($A175,'Institution Evaluation'!$A$56:$K$346,8,0)&amp;""</f>
        <v/>
      </c>
      <c r="I175" s="52" t="str">
        <f>VLOOKUP($A175,'Institution Evaluation'!$A$56:$K$346,9,0)&amp;""</f>
        <v>Critical Importance</v>
      </c>
      <c r="J175" s="193" t="str">
        <f>VLOOKUP($A175,'Institution Evaluation'!$A$56:$K$346,10,0)&amp;""</f>
        <v/>
      </c>
      <c r="K175" s="55" t="str">
        <f>IF(VLOOKUP($A175,'Institution Evaluation'!$A$56:$K$346,10,0)=TRUE,"Yes","")</f>
        <v/>
      </c>
    </row>
    <row r="176" spans="1:11" ht="85">
      <c r="A176" s="25" t="s">
        <v>355</v>
      </c>
      <c r="B176" s="24" t="str">
        <f>VLOOKUP($A176,Questions!$A$2:$X$333,2,0)</f>
        <v>Are these rights retained even through a provider acquisition or bankruptcy event?*</v>
      </c>
      <c r="C176" s="52" t="str">
        <f>VLOOKUP($A176,'Institution Evaluation'!$A$56:$K$346,3,0)&amp;""</f>
        <v>yes</v>
      </c>
      <c r="D176" s="52" t="str">
        <f>VLOOKUP($A176,'Institution Evaluation'!$A$56:$K$346,4,0)&amp;""</f>
        <v>Acting President is appointed through corporate resolution with explicit instructions.</v>
      </c>
      <c r="E176" s="350" t="str">
        <f>VLOOKUP($A176,'Institution Evaluation'!$A$56:$K$346,5,0)&amp;""</f>
        <v>Provide references, as needed.</v>
      </c>
      <c r="F176" s="195" t="str">
        <f>VLOOKUP($A176,'Institution Evaluation'!$A$56:$K$346,6,0)&amp;""</f>
        <v/>
      </c>
      <c r="G176" s="37" t="str">
        <f>VLOOKUP($A176,'Institution Evaluation'!$A$56:$K$346,7,0)&amp;""</f>
        <v>Yes</v>
      </c>
      <c r="H176" s="192" t="str">
        <f>VLOOKUP($A176,'Institution Evaluation'!$A$56:$K$346,8,0)&amp;""</f>
        <v/>
      </c>
      <c r="I176" s="52" t="str">
        <f>VLOOKUP($A176,'Institution Evaluation'!$A$56:$K$346,9,0)&amp;""</f>
        <v>Critical Importance</v>
      </c>
      <c r="J176" s="193" t="str">
        <f>VLOOKUP($A176,'Institution Evaluation'!$A$56:$K$346,10,0)&amp;""</f>
        <v/>
      </c>
      <c r="K176" s="55" t="str">
        <f>IF(VLOOKUP($A176,'Institution Evaluation'!$A$56:$K$346,10,0)=TRUE,"Yes","")</f>
        <v/>
      </c>
    </row>
    <row r="177" spans="1:11" ht="45">
      <c r="A177" s="25" t="s">
        <v>357</v>
      </c>
      <c r="B177" s="24" t="str">
        <f>VLOOKUP($A177,Questions!$A$2:$X$333,2,0)</f>
        <v>Do backups containing the institution's data ever leave the institution's data zone either physically or via network routing?*</v>
      </c>
      <c r="C177" s="52" t="str">
        <f>VLOOKUP($A177,'Institution Evaluation'!$A$56:$K$346,3,0)&amp;""</f>
        <v>no</v>
      </c>
      <c r="D177" s="52" t="str">
        <f>VLOOKUP($A177,'Institution Evaluation'!$A$56:$K$346,4,0)&amp;""</f>
        <v/>
      </c>
      <c r="E177" s="350" t="str">
        <f>VLOOKUP($A177,'Institution Evaluation'!$A$56:$K$346,5,0)&amp;""</f>
        <v/>
      </c>
      <c r="F177" s="195" t="str">
        <f>VLOOKUP($A177,'Institution Evaluation'!$A$56:$K$346,6,0)&amp;""</f>
        <v/>
      </c>
      <c r="G177" s="37" t="str">
        <f>VLOOKUP($A177,'Institution Evaluation'!$A$56:$K$346,7,0)&amp;""</f>
        <v>No</v>
      </c>
      <c r="H177" s="192" t="str">
        <f>VLOOKUP($A177,'Institution Evaluation'!$A$56:$K$346,8,0)&amp;""</f>
        <v/>
      </c>
      <c r="I177" s="52" t="str">
        <f>VLOOKUP($A177,'Institution Evaluation'!$A$56:$K$346,9,0)&amp;""</f>
        <v>Critical Importance</v>
      </c>
      <c r="J177" s="193" t="str">
        <f>VLOOKUP($A177,'Institution Evaluation'!$A$56:$K$346,10,0)&amp;""</f>
        <v/>
      </c>
      <c r="K177" s="55" t="str">
        <f>IF(VLOOKUP($A177,'Institution Evaluation'!$A$56:$K$346,10,0)=TRUE,"Yes","")</f>
        <v/>
      </c>
    </row>
    <row r="178" spans="1:11" ht="221">
      <c r="A178" s="25" t="s">
        <v>359</v>
      </c>
      <c r="B178" s="24" t="str">
        <f>VLOOKUP($A178,Questions!$A$2:$X$333,2,0)</f>
        <v>Is media used for long-term retention of business data and archival purposes stored in a secure, environmentally protected area?*</v>
      </c>
      <c r="C178" s="52" t="str">
        <f>VLOOKUP($A178,'Institution Evaluation'!$A$56:$K$346,3,0)&amp;""</f>
        <v>yes</v>
      </c>
      <c r="D178" s="52" t="str">
        <f>VLOOKUP($A178,'Institution Evaluation'!$A$56:$K$346,4,0)&amp;""</f>
        <v>We do not use physical media for long-term retention. All data is stored within Liquid Web LLC’s SOC 2–audited data centers, which provide secure, environmentally controlled facilities with fire suppression, flood detection, redundant power, and climate protections.</v>
      </c>
      <c r="E178" s="350" t="str">
        <f>VLOOKUP($A178,'Institution Evaluation'!$A$56:$K$346,5,0)&amp;""</f>
        <v>Provide a general summary of your archival environment.</v>
      </c>
      <c r="F178" s="195" t="str">
        <f>VLOOKUP($A178,'Institution Evaluation'!$A$56:$K$346,6,0)&amp;""</f>
        <v/>
      </c>
      <c r="G178" s="37" t="str">
        <f>VLOOKUP($A178,'Institution Evaluation'!$A$56:$K$346,7,0)&amp;""</f>
        <v>Yes</v>
      </c>
      <c r="H178" s="192" t="str">
        <f>VLOOKUP($A178,'Institution Evaluation'!$A$56:$K$346,8,0)&amp;""</f>
        <v/>
      </c>
      <c r="I178" s="52" t="str">
        <f>VLOOKUP($A178,'Institution Evaluation'!$A$56:$K$346,9,0)&amp;""</f>
        <v>Critical Importance</v>
      </c>
      <c r="J178" s="193" t="str">
        <f>VLOOKUP($A178,'Institution Evaluation'!$A$56:$K$346,10,0)&amp;""</f>
        <v/>
      </c>
      <c r="K178" s="55" t="str">
        <f>IF(VLOOKUP($A178,'Institution Evaluation'!$A$56:$K$346,10,0)=TRUE,"Yes","")</f>
        <v/>
      </c>
    </row>
    <row r="179" spans="1:11" ht="102">
      <c r="A179" s="25" t="s">
        <v>363</v>
      </c>
      <c r="B179" s="24" t="str">
        <f>VLOOKUP($A179,Questions!$A$2:$X$333,2,0)</f>
        <v>At the completion of this contract, will data be returned to the institution and/or deleted from all your systems and archives?</v>
      </c>
      <c r="C179" s="52" t="str">
        <f>VLOOKUP($A179,'Institution Evaluation'!$A$56:$K$346,3,0)&amp;""</f>
        <v>yes</v>
      </c>
      <c r="D179" s="52" t="str">
        <f>VLOOKUP($A179,'Institution Evaluation'!$A$56:$K$346,4,0)&amp;""</f>
        <v>deleted after 90 days</v>
      </c>
      <c r="E179" s="350" t="str">
        <f>VLOOKUP($A179,'Institution Evaluation'!$A$56:$K$346,5,0)&amp;""</f>
        <v>State the length of time that the institution's data will be available in the system at the completion of the contract.</v>
      </c>
      <c r="F179" s="195" t="str">
        <f>VLOOKUP($A179,'Institution Evaluation'!$A$56:$K$346,6,0)&amp;""</f>
        <v/>
      </c>
      <c r="G179" s="37" t="str">
        <f>VLOOKUP($A179,'Institution Evaluation'!$A$56:$K$346,7,0)&amp;""</f>
        <v>Yes</v>
      </c>
      <c r="H179" s="192" t="str">
        <f>VLOOKUP($A179,'Institution Evaluation'!$A$56:$K$346,8,0)&amp;""</f>
        <v/>
      </c>
      <c r="I179" s="52" t="str">
        <f>VLOOKUP($A179,'Institution Evaluation'!$A$56:$K$346,9,0)&amp;""</f>
        <v>Standard Importance</v>
      </c>
      <c r="J179" s="193" t="str">
        <f>VLOOKUP($A179,'Institution Evaluation'!$A$56:$K$346,10,0)&amp;""</f>
        <v/>
      </c>
      <c r="K179" s="55" t="str">
        <f>IF(VLOOKUP($A179,'Institution Evaluation'!$A$56:$K$346,10,0)=TRUE,"Yes","")</f>
        <v/>
      </c>
    </row>
    <row r="180" spans="1:11" ht="153">
      <c r="A180" s="25" t="s">
        <v>367</v>
      </c>
      <c r="B180" s="24" t="str">
        <f>VLOOKUP($A180,Questions!$A$2:$X$333,2,0)</f>
        <v>Can the institution extract a full or partial backup of data?</v>
      </c>
      <c r="C180" s="52" t="str">
        <f>VLOOKUP($A180,'Institution Evaluation'!$A$56:$K$346,3,0)&amp;""</f>
        <v>yes</v>
      </c>
      <c r="D180" s="52" t="str">
        <f>VLOOKUP($A180,'Institution Evaluation'!$A$56:$K$346,4,0)&amp;""</f>
        <v>Institutions can export full or partial data sets using built-in export features (Excel and PDF). Database backups are not provided directly, as they require the proprietary application to interpret.</v>
      </c>
      <c r="E180" s="350" t="str">
        <f>VLOOKUP($A180,'Institution Evaluation'!$A$56:$K$346,5,0)&amp;""</f>
        <v>Provide a general summary of how full and partial backups of data can be extracted.</v>
      </c>
      <c r="F180" s="195" t="str">
        <f>VLOOKUP($A180,'Institution Evaluation'!$A$56:$K$346,6,0)&amp;""</f>
        <v/>
      </c>
      <c r="G180" s="37" t="str">
        <f>VLOOKUP($A180,'Institution Evaluation'!$A$56:$K$346,7,0)&amp;""</f>
        <v>Yes</v>
      </c>
      <c r="H180" s="192" t="str">
        <f>VLOOKUP($A180,'Institution Evaluation'!$A$56:$K$346,8,0)&amp;""</f>
        <v/>
      </c>
      <c r="I180" s="52" t="str">
        <f>VLOOKUP($A180,'Institution Evaluation'!$A$56:$K$346,9,0)&amp;""</f>
        <v>Standard Importance</v>
      </c>
      <c r="J180" s="193" t="str">
        <f>VLOOKUP($A180,'Institution Evaluation'!$A$56:$K$346,10,0)&amp;""</f>
        <v/>
      </c>
      <c r="K180" s="55" t="str">
        <f>IF(VLOOKUP($A180,'Institution Evaluation'!$A$56:$K$346,10,0)=TRUE,"Yes","")</f>
        <v/>
      </c>
    </row>
    <row r="181" spans="1:11" ht="119">
      <c r="A181" s="25" t="s">
        <v>371</v>
      </c>
      <c r="B181" s="24" t="str">
        <f>VLOOKUP($A181,Questions!$A$2:$X$333,2,0)</f>
        <v>Do current backups include all operating system software, utilities, security software, application software, and data files necessary for recovery?</v>
      </c>
      <c r="C181" s="52" t="str">
        <f>VLOOKUP($A181,'Institution Evaluation'!$A$56:$K$346,3,0)&amp;""</f>
        <v>yes</v>
      </c>
      <c r="D181" s="52" t="str">
        <f>VLOOKUP($A181,'Institution Evaluation'!$A$56:$K$346,4,0)&amp;""</f>
        <v>Operating system software, utilities, and security software are included under the hosting provider’s managed backup and recovery processes.</v>
      </c>
      <c r="E181" s="350" t="str">
        <f>VLOOKUP($A181,'Institution Evaluation'!$A$56:$K$346,5,0)&amp;""</f>
        <v>Decribe your overall strategy to accomplish these elements.</v>
      </c>
      <c r="F181" s="195" t="str">
        <f>VLOOKUP($A181,'Institution Evaluation'!$A$56:$K$346,6,0)&amp;""</f>
        <v/>
      </c>
      <c r="G181" s="37" t="str">
        <f>VLOOKUP($A181,'Institution Evaluation'!$A$56:$K$346,7,0)&amp;""</f>
        <v>Yes</v>
      </c>
      <c r="H181" s="192" t="str">
        <f>VLOOKUP($A181,'Institution Evaluation'!$A$56:$K$346,8,0)&amp;""</f>
        <v/>
      </c>
      <c r="I181" s="52" t="str">
        <f>VLOOKUP($A181,'Institution Evaluation'!$A$56:$K$346,9,0)&amp;""</f>
        <v>Standard Importance</v>
      </c>
      <c r="J181" s="193" t="str">
        <f>VLOOKUP($A181,'Institution Evaluation'!$A$56:$K$346,10,0)&amp;""</f>
        <v/>
      </c>
      <c r="K181" s="55" t="str">
        <f>IF(VLOOKUP($A181,'Institution Evaluation'!$A$56:$K$346,10,0)=TRUE,"Yes","")</f>
        <v/>
      </c>
    </row>
    <row r="182" spans="1:11" ht="289">
      <c r="A182" s="25" t="s">
        <v>375</v>
      </c>
      <c r="B182" s="24" t="str">
        <f>VLOOKUP($A182,Questions!$A$2:$X$333,2,0)</f>
        <v>Are you performing off-site backups (i.e., digitally moved off site)?</v>
      </c>
      <c r="C182" s="52" t="str">
        <f>VLOOKUP($A182,'Institution Evaluation'!$A$56:$K$346,3,0)&amp;""</f>
        <v>yes</v>
      </c>
      <c r="D182" s="52" t="str">
        <f>VLOOKUP($A182,'Institution Evaluation'!$A$56:$K$346,4,0)&amp;""</f>
        <v>ASC performs daily, weekly, and monthly backups. Backups are digitally stored off-site from the primary environment. Liquid Web LLC, the hosting provider, also performs managed backups of the dedicated server to separate storage systems. This ensures data is protected both by ASC’s off-site backup process and Liquid Web’s managed infrastructure backups</v>
      </c>
      <c r="E182" s="350" t="str">
        <f>VLOOKUP($A182,'Institution Evaluation'!$A$56:$K$346,5,0)&amp;""</f>
        <v>Summarize your off-site backup strategy.</v>
      </c>
      <c r="F182" s="195" t="str">
        <f>VLOOKUP($A182,'Institution Evaluation'!$A$56:$K$346,6,0)&amp;""</f>
        <v/>
      </c>
      <c r="G182" s="37" t="str">
        <f>VLOOKUP($A182,'Institution Evaluation'!$A$56:$K$346,7,0)&amp;""</f>
        <v>Yes</v>
      </c>
      <c r="H182" s="192" t="str">
        <f>VLOOKUP($A182,'Institution Evaluation'!$A$56:$K$346,8,0)&amp;""</f>
        <v/>
      </c>
      <c r="I182" s="52" t="str">
        <f>VLOOKUP($A182,'Institution Evaluation'!$A$56:$K$346,9,0)&amp;""</f>
        <v>Standard Importance</v>
      </c>
      <c r="J182" s="193" t="str">
        <f>VLOOKUP($A182,'Institution Evaluation'!$A$56:$K$346,10,0)&amp;""</f>
        <v/>
      </c>
      <c r="K182" s="55" t="str">
        <f>IF(VLOOKUP($A182,'Institution Evaluation'!$A$56:$K$346,10,0)=TRUE,"Yes","")</f>
        <v/>
      </c>
    </row>
    <row r="183" spans="1:11" ht="68">
      <c r="A183" s="25" t="s">
        <v>381</v>
      </c>
      <c r="B183" s="24" t="str">
        <f>VLOOKUP($A183,Questions!$A$2:$X$333,2,0)</f>
        <v>Are physical backups taken off-site (i.e., physically moved off site)?</v>
      </c>
      <c r="C183" s="52" t="str">
        <f>VLOOKUP($A183,'Institution Evaluation'!$A$56:$K$346,3,0)&amp;""</f>
        <v>yes</v>
      </c>
      <c r="D183" s="52" t="str">
        <f>VLOOKUP($A183,'Institution Evaluation'!$A$56:$K$346,4,0)&amp;""</f>
        <v>Handled by hosting provider (Liquid Web LLC, SOC 2 report available)”.</v>
      </c>
      <c r="E183" s="350" t="str">
        <f>VLOOKUP($A183,'Institution Evaluation'!$A$56:$K$346,5,0)&amp;""</f>
        <v>Provide the distance (in miles) between the primary and off-site locations.</v>
      </c>
      <c r="F183" s="195" t="str">
        <f>VLOOKUP($A183,'Institution Evaluation'!$A$56:$K$346,6,0)&amp;""</f>
        <v/>
      </c>
      <c r="G183" s="37" t="str">
        <f>VLOOKUP($A183,'Institution Evaluation'!$A$56:$K$346,7,0)&amp;""</f>
        <v>Yes</v>
      </c>
      <c r="H183" s="192" t="str">
        <f>VLOOKUP($A183,'Institution Evaluation'!$A$56:$K$346,8,0)&amp;""</f>
        <v/>
      </c>
      <c r="I183" s="52" t="str">
        <f>VLOOKUP($A183,'Institution Evaluation'!$A$56:$K$346,9,0)&amp;""</f>
        <v>Standard Importance</v>
      </c>
      <c r="J183" s="193" t="str">
        <f>VLOOKUP($A183,'Institution Evaluation'!$A$56:$K$346,10,0)&amp;""</f>
        <v/>
      </c>
      <c r="K183" s="55" t="str">
        <f>IF(VLOOKUP($A183,'Institution Evaluation'!$A$56:$K$346,10,0)=TRUE,"Yes","")</f>
        <v/>
      </c>
    </row>
    <row r="184" spans="1:11" ht="388">
      <c r="A184" s="25" t="s">
        <v>386</v>
      </c>
      <c r="B184" s="24" t="str">
        <f>VLOOKUP($A184,Questions!$A$2:$X$333,2,0)</f>
        <v>Are data backups encrypted?</v>
      </c>
      <c r="C184" s="52" t="str">
        <f>VLOOKUP($A184,'Institution Evaluation'!$A$56:$K$346,3,0)&amp;""</f>
        <v>yes</v>
      </c>
      <c r="D184" s="52" t="str">
        <f>VLOOKUP($A184,'Institution Evaluation'!$A$56:$K$346,4,0)&amp;""</f>
        <v>Backups of institutional data in TalEval and Discovery Pro are encrypted—since data is encrypted at rest and in transit, backed-up versions remain protected. Liquid Web LLC, the hosting provider, also performs server-level backups; while encryption is optional by default, they offer encrypted backup options (e.g., AES-based encryption in Acronis Cyber Backups) which can be activated depending on customer needs. In HIPAA hosting plans, backups are encrypted both in transit and at rest</v>
      </c>
      <c r="E184" s="350" t="str">
        <f>VLOOKUP($A184,'Institution Evaluation'!$A$56:$K$346,5,0)&amp;""</f>
        <v>Summarize the encryption algorithm/strategy you are using to secure backups.</v>
      </c>
      <c r="F184" s="195" t="str">
        <f>VLOOKUP($A184,'Institution Evaluation'!$A$56:$K$346,6,0)&amp;""</f>
        <v/>
      </c>
      <c r="G184" s="37" t="str">
        <f>VLOOKUP($A184,'Institution Evaluation'!$A$56:$K$346,7,0)&amp;""</f>
        <v>Yes</v>
      </c>
      <c r="H184" s="192" t="str">
        <f>VLOOKUP($A184,'Institution Evaluation'!$A$56:$K$346,8,0)&amp;""</f>
        <v/>
      </c>
      <c r="I184" s="52" t="str">
        <f>VLOOKUP($A184,'Institution Evaluation'!$A$56:$K$346,9,0)&amp;""</f>
        <v>Minor Importance</v>
      </c>
      <c r="J184" s="193" t="str">
        <f>VLOOKUP($A184,'Institution Evaluation'!$A$56:$K$346,10,0)&amp;""</f>
        <v/>
      </c>
      <c r="K184" s="55" t="str">
        <f>IF(VLOOKUP($A184,'Institution Evaluation'!$A$56:$K$346,10,0)=TRUE,"Yes","")</f>
        <v/>
      </c>
    </row>
    <row r="185" spans="1:11" ht="119">
      <c r="A185" s="25" t="s">
        <v>387</v>
      </c>
      <c r="B185" s="24" t="str">
        <f>VLOOKUP($A185,Questions!$A$2:$X$333,2,0)</f>
        <v>Do you have a media handling process that is documented and currently implemented that meets established business needs and regulatory requirements, including end-of-life, repurposing, and data-sanitization procedures?</v>
      </c>
      <c r="C185" s="52" t="str">
        <f>VLOOKUP($A185,'Institution Evaluation'!$A$56:$K$346,3,0)&amp;""</f>
        <v>yes</v>
      </c>
      <c r="D185" s="52" t="str">
        <f>VLOOKUP($A185,'Institution Evaluation'!$A$56:$K$346,4,0)&amp;""</f>
        <v>ASC doesn't run its own hardware data center.  When data is deleted, it stays deleted, and no sensitive media is repurposed without sanitization.</v>
      </c>
      <c r="E185" s="350" t="str">
        <f>VLOOKUP($A185,'Institution Evaluation'!$A$56:$K$346,5,0)&amp;""</f>
        <v>Provide documented details of this process (link or attached).</v>
      </c>
      <c r="F185" s="195" t="str">
        <f>VLOOKUP($A185,'Institution Evaluation'!$A$56:$K$346,6,0)&amp;""</f>
        <v/>
      </c>
      <c r="G185" s="37" t="str">
        <f>VLOOKUP($A185,'Institution Evaluation'!$A$56:$K$346,7,0)&amp;""</f>
        <v>Yes</v>
      </c>
      <c r="H185" s="192" t="str">
        <f>VLOOKUP($A185,'Institution Evaluation'!$A$56:$K$346,8,0)&amp;""</f>
        <v/>
      </c>
      <c r="I185" s="52" t="str">
        <f>VLOOKUP($A185,'Institution Evaluation'!$A$56:$K$346,9,0)&amp;""</f>
        <v>Standard Importance</v>
      </c>
      <c r="J185" s="193" t="str">
        <f>VLOOKUP($A185,'Institution Evaluation'!$A$56:$K$346,10,0)&amp;""</f>
        <v/>
      </c>
      <c r="K185" s="55" t="str">
        <f>IF(VLOOKUP($A185,'Institution Evaluation'!$A$56:$K$346,10,0)=TRUE,"Yes","")</f>
        <v/>
      </c>
    </row>
    <row r="186" spans="1:11" ht="45">
      <c r="A186" s="25" t="s">
        <v>393</v>
      </c>
      <c r="B186" s="24" t="str">
        <f>VLOOKUP($A186,Questions!$A$2:$X$333,2,0)</f>
        <v>Does your staff (or third party) have access to institutional data (e.g., financial, PHI, or other sensitive information) through any means?</v>
      </c>
      <c r="C186" s="52" t="str">
        <f>VLOOKUP($A186,'Institution Evaluation'!$A$56:$K$346,3,0)&amp;""</f>
        <v>no</v>
      </c>
      <c r="D186" s="52" t="str">
        <f>VLOOKUP($A186,'Institution Evaluation'!$A$56:$K$346,4,0)&amp;""</f>
        <v/>
      </c>
      <c r="E186" s="350" t="str">
        <f>VLOOKUP($A186,'Institution Evaluation'!$A$56:$K$346,5,0)&amp;""</f>
        <v/>
      </c>
      <c r="F186" s="195" t="str">
        <f>VLOOKUP($A186,'Institution Evaluation'!$A$56:$K$346,6,0)&amp;""</f>
        <v/>
      </c>
      <c r="G186" s="37" t="str">
        <f>VLOOKUP($A186,'Institution Evaluation'!$A$56:$K$346,7,0)&amp;""</f>
        <v>Yes</v>
      </c>
      <c r="H186" s="192" t="str">
        <f>VLOOKUP($A186,'Institution Evaluation'!$A$56:$K$346,8,0)&amp;""</f>
        <v/>
      </c>
      <c r="I186" s="52" t="str">
        <f>VLOOKUP($A186,'Institution Evaluation'!$A$56:$K$346,9,0)&amp;""</f>
        <v>Standard Importance</v>
      </c>
      <c r="J186" s="193" t="str">
        <f>VLOOKUP($A186,'Institution Evaluation'!$A$56:$K$346,10,0)&amp;""</f>
        <v/>
      </c>
      <c r="K186" s="55" t="str">
        <f>IF(VLOOKUP($A186,'Institution Evaluation'!$A$56:$K$346,10,0)=TRUE,"Yes","")</f>
        <v/>
      </c>
    </row>
    <row r="187" spans="1:11" ht="204">
      <c r="A187" s="25" t="s">
        <v>412</v>
      </c>
      <c r="B187" s="24" t="str">
        <f>VLOOKUP($A187,Questions!$A$2:$X$333,2,0)</f>
        <v>Are involatile backup copies made according to predefined schedules and securely stored and protected?</v>
      </c>
      <c r="C187" s="52" t="str">
        <f>VLOOKUP($A187,'Institution Evaluation'!$A$56:$K$346,3,0)&amp;""</f>
        <v>yes</v>
      </c>
      <c r="D187" s="52" t="str">
        <f>VLOOKUP($A187,'Institution Evaluation'!$A$56:$K$346,4,0)&amp;""</f>
        <v>Backups are made according to predefined schedules: daily backups rotated every 7 days, weekly backups retained for 8 weeks, and monthly backups retained for 3 months. All backups are encrypted, access-controlled, and securely stored</v>
      </c>
      <c r="E187" s="350" t="str">
        <f>VLOOKUP($A187,'Institution Evaluation'!$A$56:$K$346,5,0)&amp;""</f>
        <v>If your strategy uses different processes for services and data, ensure that all strategies are clearly stated and supported.</v>
      </c>
      <c r="F187" s="195" t="str">
        <f>VLOOKUP($A187,'Institution Evaluation'!$A$56:$K$346,6,0)&amp;""</f>
        <v/>
      </c>
      <c r="G187" s="37" t="str">
        <f>VLOOKUP($A187,'Institution Evaluation'!$A$56:$K$346,7,0)&amp;""</f>
        <v>Yes</v>
      </c>
      <c r="H187" s="192" t="str">
        <f>VLOOKUP($A187,'Institution Evaluation'!$A$56:$K$346,8,0)&amp;""</f>
        <v/>
      </c>
      <c r="I187" s="52" t="str">
        <f>VLOOKUP($A187,'Institution Evaluation'!$A$56:$K$346,9,0)&amp;""</f>
        <v>Minor Importance</v>
      </c>
      <c r="J187" s="193" t="str">
        <f>VLOOKUP($A187,'Institution Evaluation'!$A$56:$K$346,10,0)&amp;""</f>
        <v/>
      </c>
      <c r="K187" s="55" t="str">
        <f>IF(VLOOKUP($A187,'Institution Evaluation'!$A$56:$K$346,10,0)=TRUE,"Yes","")</f>
        <v/>
      </c>
    </row>
    <row r="188" spans="1:11" ht="75">
      <c r="A188" s="25" t="s">
        <v>416</v>
      </c>
      <c r="B188" s="24" t="str">
        <f>VLOOKUP($A188,Questions!$A$2:$X$333,2,0)</f>
        <v>Do you have a cryptographic key management process (generation, exchange, storage, safeguards, use, vetting, and replacement) that is documented and currently implemented, for all system components (e.g., database, system, web, etc.)?</v>
      </c>
      <c r="C188" s="52" t="str">
        <f>VLOOKUP($A188,'Institution Evaluation'!$A$56:$K$346,3,0)&amp;""</f>
        <v>yes</v>
      </c>
      <c r="D188" s="52" t="str">
        <f>VLOOKUP($A188,'Institution Evaluation'!$A$56:$K$346,4,0)&amp;""</f>
        <v/>
      </c>
      <c r="E188" s="350" t="str">
        <f>VLOOKUP($A188,'Institution Evaluation'!$A$56:$K$346,5,0)&amp;""</f>
        <v/>
      </c>
      <c r="F188" s="195" t="str">
        <f>VLOOKUP($A188,'Institution Evaluation'!$A$56:$K$346,6,0)&amp;""</f>
        <v/>
      </c>
      <c r="G188" s="37" t="str">
        <f>VLOOKUP($A188,'Institution Evaluation'!$A$56:$K$346,7,0)&amp;""</f>
        <v>Yes</v>
      </c>
      <c r="H188" s="192" t="str">
        <f>VLOOKUP($A188,'Institution Evaluation'!$A$56:$K$346,8,0)&amp;""</f>
        <v/>
      </c>
      <c r="I188" s="52" t="str">
        <f>VLOOKUP($A188,'Institution Evaluation'!$A$56:$K$346,9,0)&amp;""</f>
        <v>Minor Importance</v>
      </c>
      <c r="J188" s="193" t="str">
        <f>VLOOKUP($A188,'Institution Evaluation'!$A$56:$K$346,10,0)&amp;""</f>
        <v/>
      </c>
      <c r="K188" s="55" t="str">
        <f>IF(VLOOKUP($A188,'Institution Evaluation'!$A$56:$K$346,10,0)=TRUE,"Yes","")</f>
        <v/>
      </c>
    </row>
    <row r="189" spans="1:11" s="1" customFormat="1" ht="18">
      <c r="A189" s="70" t="str">
        <f>VLOOKUP(LEFT($A190,4),'Auto Responses'!$N$4:$O$38,2,0)&amp;""</f>
        <v xml:space="preserve"> Datacenter</v>
      </c>
      <c r="B189" s="29"/>
      <c r="C189" s="38"/>
      <c r="D189" s="38"/>
      <c r="E189" s="351"/>
      <c r="F189" s="139" t="s">
        <v>1089</v>
      </c>
      <c r="G189" s="358" t="s">
        <v>925</v>
      </c>
      <c r="H189" s="358" t="s">
        <v>927</v>
      </c>
      <c r="I189" s="358" t="s">
        <v>19</v>
      </c>
      <c r="J189" s="358" t="s">
        <v>912</v>
      </c>
      <c r="K189" s="38"/>
    </row>
    <row r="190" spans="1:11" ht="17">
      <c r="A190" s="25" t="s">
        <v>421</v>
      </c>
      <c r="B190" s="24" t="str">
        <f>VLOOKUP($A190,Questions!$A$2:$X$333,2,0)</f>
        <v>Select your hosting option.</v>
      </c>
      <c r="C190" s="52" t="str">
        <f>VLOOKUP($A190,'Institution Evaluation'!$A$56:$K$346,3,0)&amp;""</f>
        <v>Hybrid/Other</v>
      </c>
      <c r="D190" s="52" t="str">
        <f>VLOOKUP($A190,'Institution Evaluation'!$A$56:$K$346,4,0)&amp;""</f>
        <v/>
      </c>
      <c r="E190" s="350" t="str">
        <f>VLOOKUP($A190,'Institution Evaluation'!$A$56:$K$346,5,0)&amp;""</f>
        <v/>
      </c>
      <c r="F190" s="195" t="str">
        <f>VLOOKUP($A190,'Institution Evaluation'!$A$56:$K$346,6,0)&amp;""</f>
        <v/>
      </c>
      <c r="G190" s="37" t="str">
        <f>VLOOKUP($A190,'Institution Evaluation'!$A$56:$K$346,7,0)&amp;""</f>
        <v>Not scored</v>
      </c>
      <c r="H190" s="192" t="str">
        <f>VLOOKUP($A190,'Institution Evaluation'!$A$56:$K$346,8,0)&amp;""</f>
        <v/>
      </c>
      <c r="I190" s="52" t="str">
        <f>VLOOKUP($A190,'Institution Evaluation'!$A$56:$K$346,9,0)&amp;""</f>
        <v/>
      </c>
      <c r="J190" s="193" t="str">
        <f>VLOOKUP($A190,'Institution Evaluation'!$A$56:$K$346,10,0)&amp;""</f>
        <v/>
      </c>
      <c r="K190" s="55" t="str">
        <f>IF(VLOOKUP($A190,'Institution Evaluation'!$A$56:$K$346,10,0)=TRUE,"Yes","")</f>
        <v/>
      </c>
    </row>
    <row r="191" spans="1:11" ht="30">
      <c r="A191" s="25" t="s">
        <v>428</v>
      </c>
      <c r="B191" s="24" t="str">
        <f>VLOOKUP($A191,Questions!$A$2:$X$333,2,0)</f>
        <v>Are you generally able to accommodate storing each institution's data within its geographic region?</v>
      </c>
      <c r="C191" s="52" t="str">
        <f>VLOOKUP($A191,'Institution Evaluation'!$A$56:$K$346,3,0)&amp;""</f>
        <v>yes</v>
      </c>
      <c r="D191" s="52" t="str">
        <f>VLOOKUP($A191,'Institution Evaluation'!$A$56:$K$346,4,0)&amp;""</f>
        <v/>
      </c>
      <c r="E191" s="350" t="str">
        <f>VLOOKUP($A191,'Institution Evaluation'!$A$56:$K$346,5,0)&amp;""</f>
        <v/>
      </c>
      <c r="F191" s="195" t="str">
        <f>VLOOKUP($A191,'Institution Evaluation'!$A$56:$K$346,6,0)&amp;""</f>
        <v/>
      </c>
      <c r="G191" s="37" t="str">
        <f>VLOOKUP($A191,'Institution Evaluation'!$A$56:$K$346,7,0)&amp;""</f>
        <v>Yes</v>
      </c>
      <c r="H191" s="192" t="str">
        <f>VLOOKUP($A191,'Institution Evaluation'!$A$56:$K$346,8,0)&amp;""</f>
        <v/>
      </c>
      <c r="I191" s="52" t="str">
        <f>VLOOKUP($A191,'Institution Evaluation'!$A$56:$K$346,9,0)&amp;""</f>
        <v>Standard Importance</v>
      </c>
      <c r="J191" s="193" t="str">
        <f>VLOOKUP($A191,'Institution Evaluation'!$A$56:$K$346,10,0)&amp;""</f>
        <v/>
      </c>
      <c r="K191" s="55" t="str">
        <f>IF(VLOOKUP($A191,'Institution Evaluation'!$A$56:$K$346,10,0)=TRUE,"Yes","")</f>
        <v/>
      </c>
    </row>
    <row r="192" spans="1:11" s="1" customFormat="1" ht="18">
      <c r="A192" s="70" t="str">
        <f>VLOOKUP(LEFT($A193,4),'Auto Responses'!$N$4:$O$38,2,0)&amp;""</f>
        <v xml:space="preserve"> Firewalls, IDS, IPS, and Networking</v>
      </c>
      <c r="B192" s="29"/>
      <c r="C192" s="38"/>
      <c r="D192" s="38"/>
      <c r="E192" s="351"/>
      <c r="F192" s="139" t="s">
        <v>1089</v>
      </c>
      <c r="G192" s="358" t="s">
        <v>925</v>
      </c>
      <c r="H192" s="358" t="s">
        <v>927</v>
      </c>
      <c r="I192" s="358" t="s">
        <v>19</v>
      </c>
      <c r="J192" s="358" t="s">
        <v>912</v>
      </c>
      <c r="K192" s="38"/>
    </row>
    <row r="193" spans="1:11" ht="204">
      <c r="A193" s="25" t="s">
        <v>476</v>
      </c>
      <c r="B193" s="24" t="str">
        <f>VLOOKUP($A193,Questions!$A$2:$X$333,2,0)</f>
        <v>Are you utilizing a stateful packet inspection (SPI) firewall?*</v>
      </c>
      <c r="C193" s="52" t="str">
        <f>VLOOKUP($A193,'Institution Evaluation'!$A$56:$K$346,3,0)&amp;""</f>
        <v>yes</v>
      </c>
      <c r="D193" s="52" t="str">
        <f>VLOOKUP($A193,'Institution Evaluation'!$A$56:$K$346,4,0)&amp;""</f>
        <v>Liquid Web LLC (SOC 2 certified) manages stateful packet inspection (SPI) firewalls as part of its managed hosting services. These firewalls monitor and control network traffic based on state, port, and protocol, ensuring only valid and expected traffic is allowed</v>
      </c>
      <c r="E193" s="350" t="str">
        <f>VLOOKUP($A193,'Institution Evaluation'!$A$56:$K$346,5,0)&amp;""</f>
        <v>Describe the currently implemented SPI firewall.</v>
      </c>
      <c r="F193" s="195" t="str">
        <f>VLOOKUP($A193,'Institution Evaluation'!$A$56:$K$346,6,0)&amp;""</f>
        <v/>
      </c>
      <c r="G193" s="37" t="str">
        <f>VLOOKUP($A193,'Institution Evaluation'!$A$56:$K$346,7,0)&amp;""</f>
        <v>Yes</v>
      </c>
      <c r="H193" s="192" t="str">
        <f>VLOOKUP($A193,'Institution Evaluation'!$A$56:$K$346,8,0)&amp;""</f>
        <v/>
      </c>
      <c r="I193" s="52" t="str">
        <f>VLOOKUP($A193,'Institution Evaluation'!$A$56:$K$346,9,0)&amp;""</f>
        <v>Critical Importance</v>
      </c>
      <c r="J193" s="193" t="str">
        <f>VLOOKUP($A193,'Institution Evaluation'!$A$56:$K$346,10,0)&amp;""</f>
        <v/>
      </c>
      <c r="K193" s="55" t="str">
        <f>IF(VLOOKUP($A193,'Institution Evaluation'!$A$56:$K$346,10,0)=TRUE,"Yes","")</f>
        <v/>
      </c>
    </row>
    <row r="194" spans="1:11" ht="68">
      <c r="A194" s="25" t="s">
        <v>479</v>
      </c>
      <c r="B194" s="24" t="str">
        <f>VLOOKUP($A194,Questions!$A$2:$X$333,2,0)</f>
        <v>Do you have a documented policy for firewall change requests?*</v>
      </c>
      <c r="C194" s="52" t="str">
        <f>VLOOKUP($A194,'Institution Evaluation'!$A$56:$K$346,3,0)&amp;""</f>
        <v>yes</v>
      </c>
      <c r="D194" s="52" t="str">
        <f>VLOOKUP($A194,'Institution Evaluation'!$A$56:$K$346,4,0)&amp;""</f>
        <v>Handled by hosting provider (Liquid Web LLC, SOC 2 report available)”.</v>
      </c>
      <c r="E194" s="350" t="str">
        <f>VLOOKUP($A194,'Institution Evaluation'!$A$56:$K$346,5,0)&amp;""</f>
        <v>Describe your documented firewall change request policy.</v>
      </c>
      <c r="F194" s="195" t="str">
        <f>VLOOKUP($A194,'Institution Evaluation'!$A$56:$K$346,6,0)&amp;""</f>
        <v/>
      </c>
      <c r="G194" s="37" t="str">
        <f>VLOOKUP($A194,'Institution Evaluation'!$A$56:$K$346,7,0)&amp;""</f>
        <v>Yes</v>
      </c>
      <c r="H194" s="192" t="str">
        <f>VLOOKUP($A194,'Institution Evaluation'!$A$56:$K$346,8,0)&amp;""</f>
        <v/>
      </c>
      <c r="I194" s="52" t="str">
        <f>VLOOKUP($A194,'Institution Evaluation'!$A$56:$K$346,9,0)&amp;""</f>
        <v>Critical Importance</v>
      </c>
      <c r="J194" s="193" t="str">
        <f>VLOOKUP($A194,'Institution Evaluation'!$A$56:$K$346,10,0)&amp;""</f>
        <v/>
      </c>
      <c r="K194" s="55" t="str">
        <f>IF(VLOOKUP($A194,'Institution Evaluation'!$A$56:$K$346,10,0)=TRUE,"Yes","")</f>
        <v/>
      </c>
    </row>
    <row r="195" spans="1:11" ht="255">
      <c r="A195" s="25" t="s">
        <v>484</v>
      </c>
      <c r="B195" s="24" t="str">
        <f>VLOOKUP($A195,Questions!$A$2:$X$333,2,0)</f>
        <v>Have you implemented an intrusion detection system (network-based)?*</v>
      </c>
      <c r="C195" s="52" t="str">
        <f>VLOOKUP($A195,'Institution Evaluation'!$A$56:$K$346,3,0)&amp;""</f>
        <v>yes</v>
      </c>
      <c r="D195" s="52" t="str">
        <f>VLOOKUP($A195,'Institution Evaluation'!$A$56:$K$346,4,0)&amp;""</f>
        <v>relies on hosting provider Liquid Web LLC (SOC 2 certified), which has implemented managed intrusion detection and prevention systems (Threat Detector) to monitor network traffic and identify potential malicious activity. Alerts and monitoring are performed as part of Liquid Web’s managed security services.</v>
      </c>
      <c r="E195" s="350" t="str">
        <f>VLOOKUP($A195,'Institution Evaluation'!$A$56:$K$346,5,0)&amp;""</f>
        <v>Describe the currently implemented IDS.</v>
      </c>
      <c r="F195" s="195" t="str">
        <f>VLOOKUP($A195,'Institution Evaluation'!$A$56:$K$346,6,0)&amp;""</f>
        <v/>
      </c>
      <c r="G195" s="37" t="str">
        <f>VLOOKUP($A195,'Institution Evaluation'!$A$56:$K$346,7,0)&amp;""</f>
        <v>Yes</v>
      </c>
      <c r="H195" s="192" t="str">
        <f>VLOOKUP($A195,'Institution Evaluation'!$A$56:$K$346,8,0)&amp;""</f>
        <v/>
      </c>
      <c r="I195" s="52" t="str">
        <f>VLOOKUP($A195,'Institution Evaluation'!$A$56:$K$346,9,0)&amp;""</f>
        <v>Critical Importance</v>
      </c>
      <c r="J195" s="193" t="str">
        <f>VLOOKUP($A195,'Institution Evaluation'!$A$56:$K$346,10,0)&amp;""</f>
        <v/>
      </c>
      <c r="K195" s="55" t="str">
        <f>IF(VLOOKUP($A195,'Institution Evaluation'!$A$56:$K$346,10,0)=TRUE,"Yes","")</f>
        <v/>
      </c>
    </row>
    <row r="196" spans="1:11" ht="51">
      <c r="A196" s="25" t="s">
        <v>489</v>
      </c>
      <c r="B196" s="24" t="str">
        <f>VLOOKUP($A196,Questions!$A$2:$X$333,2,0)</f>
        <v>Do you employ host-based intrusion detection?*</v>
      </c>
      <c r="C196" s="52" t="str">
        <f>VLOOKUP($A196,'Institution Evaluation'!$A$56:$K$346,3,0)&amp;""</f>
        <v>yes</v>
      </c>
      <c r="D196" s="52" t="str">
        <f>VLOOKUP($A196,'Institution Evaluation'!$A$56:$K$346,4,0)&amp;""</f>
        <v>Threat Detector</v>
      </c>
      <c r="E196" s="350" t="str">
        <f>VLOOKUP($A196,'Institution Evaluation'!$A$56:$K$346,5,0)&amp;""</f>
        <v>Describe the currently implemented host-based IDS solution(s).</v>
      </c>
      <c r="F196" s="195" t="str">
        <f>VLOOKUP($A196,'Institution Evaluation'!$A$56:$K$346,6,0)&amp;""</f>
        <v/>
      </c>
      <c r="G196" s="37" t="str">
        <f>VLOOKUP($A196,'Institution Evaluation'!$A$56:$K$346,7,0)&amp;""</f>
        <v>Yes</v>
      </c>
      <c r="H196" s="192" t="str">
        <f>VLOOKUP($A196,'Institution Evaluation'!$A$56:$K$346,8,0)&amp;""</f>
        <v/>
      </c>
      <c r="I196" s="52" t="str">
        <f>VLOOKUP($A196,'Institution Evaluation'!$A$56:$K$346,9,0)&amp;""</f>
        <v>Critical Importance</v>
      </c>
      <c r="J196" s="193" t="str">
        <f>VLOOKUP($A196,'Institution Evaluation'!$A$56:$K$346,10,0)&amp;""</f>
        <v/>
      </c>
      <c r="K196" s="55" t="str">
        <f>IF(VLOOKUP($A196,'Institution Evaluation'!$A$56:$K$346,10,0)=TRUE,"Yes","")</f>
        <v/>
      </c>
    </row>
    <row r="197" spans="1:11" ht="68">
      <c r="A197" s="25" t="s">
        <v>492</v>
      </c>
      <c r="B197" s="24" t="str">
        <f>VLOOKUP($A197,Questions!$A$2:$X$333,2,0)</f>
        <v>Are audit logs available for all changes to the network, firewall, IDS, and IPS systems?*</v>
      </c>
      <c r="C197" s="52" t="str">
        <f>VLOOKUP($A197,'Institution Evaluation'!$A$56:$K$346,3,0)&amp;""</f>
        <v>yes</v>
      </c>
      <c r="D197" s="52" t="str">
        <f>VLOOKUP($A197,'Institution Evaluation'!$A$56:$K$346,4,0)&amp;""</f>
        <v>Handled by hosting provider (Liquid Web LLC, SOC 2 report available)”.</v>
      </c>
      <c r="E197" s="350" t="str">
        <f>VLOOKUP($A197,'Institution Evaluation'!$A$56:$K$346,5,0)&amp;""</f>
        <v>Describe your current network systems logging strategy.</v>
      </c>
      <c r="F197" s="195" t="str">
        <f>VLOOKUP($A197,'Institution Evaluation'!$A$56:$K$346,6,0)&amp;""</f>
        <v/>
      </c>
      <c r="G197" s="37" t="str">
        <f>VLOOKUP($A197,'Institution Evaluation'!$A$56:$K$346,7,0)&amp;""</f>
        <v>Yes</v>
      </c>
      <c r="H197" s="192" t="str">
        <f>VLOOKUP($A197,'Institution Evaluation'!$A$56:$K$346,8,0)&amp;""</f>
        <v/>
      </c>
      <c r="I197" s="52" t="str">
        <f>VLOOKUP($A197,'Institution Evaluation'!$A$56:$K$346,9,0)&amp;""</f>
        <v>Critical Importance</v>
      </c>
      <c r="J197" s="193" t="str">
        <f>VLOOKUP($A197,'Institution Evaluation'!$A$56:$K$346,10,0)&amp;""</f>
        <v/>
      </c>
      <c r="K197" s="55" t="str">
        <f>IF(VLOOKUP($A197,'Institution Evaluation'!$A$56:$K$346,10,0)=TRUE,"Yes","")</f>
        <v/>
      </c>
    </row>
    <row r="198" spans="1:11" ht="238">
      <c r="A198" s="25" t="s">
        <v>504</v>
      </c>
      <c r="B198" s="24" t="str">
        <f>VLOOKUP($A198,Questions!$A$2:$X$333,2,0)</f>
        <v>Are you employing any next-generation persistent threat (NGPT) monitoring?</v>
      </c>
      <c r="C198" s="52" t="str">
        <f>VLOOKUP($A198,'Institution Evaluation'!$A$56:$K$346,3,0)&amp;""</f>
        <v>yes</v>
      </c>
      <c r="D198" s="52" t="str">
        <f>VLOOKUP($A198,'Institution Evaluation'!$A$56:$K$346,4,0)&amp;""</f>
        <v>We rely on hosting provider Liquid Web LLC (SOC 2 certified), which employs continuous intrusion detection, intrusion prevention, and ThreatStck Detector monitoring for advanced persistent threats at the infrastructure level. Application-level security is supplemented by regular ImmuniWeb scans</v>
      </c>
      <c r="E198" s="350" t="str">
        <f>VLOOKUP($A198,'Institution Evaluation'!$A$56:$K$346,5,0)&amp;""</f>
        <v>Describe your NGPT monitoring strategy.</v>
      </c>
      <c r="F198" s="195" t="str">
        <f>VLOOKUP($A198,'Institution Evaluation'!$A$56:$K$346,6,0)&amp;""</f>
        <v/>
      </c>
      <c r="G198" s="37" t="str">
        <f>VLOOKUP($A198,'Institution Evaluation'!$A$56:$K$346,7,0)&amp;""</f>
        <v>Yes</v>
      </c>
      <c r="H198" s="192" t="str">
        <f>VLOOKUP($A198,'Institution Evaluation'!$A$56:$K$346,8,0)&amp;""</f>
        <v/>
      </c>
      <c r="I198" s="52" t="str">
        <f>VLOOKUP($A198,'Institution Evaluation'!$A$56:$K$346,9,0)&amp;""</f>
        <v>Standard Importance</v>
      </c>
      <c r="J198" s="193" t="str">
        <f>VLOOKUP($A198,'Institution Evaluation'!$A$56:$K$346,10,0)&amp;""</f>
        <v/>
      </c>
      <c r="K198" s="55" t="str">
        <f>IF(VLOOKUP($A198,'Institution Evaluation'!$A$56:$K$346,10,0)=TRUE,"Yes","")</f>
        <v/>
      </c>
    </row>
    <row r="199" spans="1:11" s="1" customFormat="1" ht="18">
      <c r="A199" s="70" t="str">
        <f>VLOOKUP(LEFT($A200,4),'Auto Responses'!$N$4:$O$38,2,0)&amp;""</f>
        <v xml:space="preserve"> Policies, Processes, and Procedures</v>
      </c>
      <c r="B199" s="29"/>
      <c r="C199" s="38"/>
      <c r="D199" s="38"/>
      <c r="E199" s="351"/>
      <c r="F199" s="139" t="s">
        <v>1089</v>
      </c>
      <c r="G199" s="358" t="s">
        <v>925</v>
      </c>
      <c r="H199" s="358" t="s">
        <v>927</v>
      </c>
      <c r="I199" s="358" t="s">
        <v>19</v>
      </c>
      <c r="J199" s="358" t="s">
        <v>912</v>
      </c>
      <c r="K199" s="38"/>
    </row>
    <row r="200" spans="1:11" ht="30">
      <c r="A200" s="25" t="s">
        <v>520</v>
      </c>
      <c r="B200" s="24" t="str">
        <f>VLOOKUP($A200,Questions!$A$2:$X$333,2,0)</f>
        <v>Is your company subject to the institution's geographic region's laws and regulations?*</v>
      </c>
      <c r="C200" s="52" t="str">
        <f>VLOOKUP($A200,'Institution Evaluation'!$A$56:$K$346,3,0)&amp;""</f>
        <v>yes</v>
      </c>
      <c r="D200" s="52" t="str">
        <f>VLOOKUP($A200,'Institution Evaluation'!$A$56:$K$346,4,0)&amp;""</f>
        <v/>
      </c>
      <c r="E200" s="350" t="str">
        <f>VLOOKUP($A200,'Institution Evaluation'!$A$56:$K$346,5,0)&amp;""</f>
        <v/>
      </c>
      <c r="F200" s="195" t="str">
        <f>VLOOKUP($A200,'Institution Evaluation'!$A$56:$K$346,6,0)&amp;""</f>
        <v/>
      </c>
      <c r="G200" s="37" t="str">
        <f>VLOOKUP($A200,'Institution Evaluation'!$A$56:$K$346,7,0)&amp;""</f>
        <v>Yes</v>
      </c>
      <c r="H200" s="192" t="str">
        <f>VLOOKUP($A200,'Institution Evaluation'!$A$56:$K$346,8,0)&amp;""</f>
        <v/>
      </c>
      <c r="I200" s="52" t="str">
        <f>VLOOKUP($A200,'Institution Evaluation'!$A$56:$K$346,9,0)&amp;""</f>
        <v>Critical Importance</v>
      </c>
      <c r="J200" s="193" t="str">
        <f>VLOOKUP($A200,'Institution Evaluation'!$A$56:$K$346,10,0)&amp;""</f>
        <v/>
      </c>
      <c r="K200" s="55" t="str">
        <f>IF(VLOOKUP($A200,'Institution Evaluation'!$A$56:$K$346,10,0)=TRUE,"Yes","")</f>
        <v/>
      </c>
    </row>
    <row r="201" spans="1:11" ht="30">
      <c r="A201" s="25" t="s">
        <v>524</v>
      </c>
      <c r="B201" s="24" t="str">
        <f>VLOOKUP($A201,Questions!$A$2:$X$333,2,0)</f>
        <v>Can you accommodate encryption requirements using open standards?</v>
      </c>
      <c r="C201" s="52" t="str">
        <f>VLOOKUP($A201,'Institution Evaluation'!$A$56:$K$346,3,0)&amp;""</f>
        <v>yes</v>
      </c>
      <c r="D201" s="52" t="str">
        <f>VLOOKUP($A201,'Institution Evaluation'!$A$56:$K$346,4,0)&amp;""</f>
        <v/>
      </c>
      <c r="E201" s="350" t="str">
        <f>VLOOKUP($A201,'Institution Evaluation'!$A$56:$K$346,5,0)&amp;""</f>
        <v/>
      </c>
      <c r="F201" s="195" t="str">
        <f>VLOOKUP($A201,'Institution Evaluation'!$A$56:$K$346,6,0)&amp;""</f>
        <v/>
      </c>
      <c r="G201" s="37" t="str">
        <f>VLOOKUP($A201,'Institution Evaluation'!$A$56:$K$346,7,0)&amp;""</f>
        <v>Yes</v>
      </c>
      <c r="H201" s="192" t="str">
        <f>VLOOKUP($A201,'Institution Evaluation'!$A$56:$K$346,8,0)&amp;""</f>
        <v/>
      </c>
      <c r="I201" s="52" t="str">
        <f>VLOOKUP($A201,'Institution Evaluation'!$A$56:$K$346,9,0)&amp;""</f>
        <v>Standard Importance</v>
      </c>
      <c r="J201" s="193" t="str">
        <f>VLOOKUP($A201,'Institution Evaluation'!$A$56:$K$346,10,0)&amp;""</f>
        <v/>
      </c>
      <c r="K201" s="55" t="str">
        <f>IF(VLOOKUP($A201,'Institution Evaluation'!$A$56:$K$346,10,0)=TRUE,"Yes","")</f>
        <v/>
      </c>
    </row>
    <row r="202" spans="1:11" ht="68">
      <c r="A202" s="25" t="s">
        <v>546</v>
      </c>
      <c r="B202" s="24" t="str">
        <f>VLOOKUP($A202,Questions!$A$2:$X$333,2,0)</f>
        <v>Will you comply with applicable breach notification laws?</v>
      </c>
      <c r="C202" s="52" t="str">
        <f>VLOOKUP($A202,'Institution Evaluation'!$A$56:$K$346,3,0)&amp;""</f>
        <v>yes</v>
      </c>
      <c r="D202" s="52" t="str">
        <f>VLOOKUP($A202,'Institution Evaluation'!$A$56:$K$346,4,0)&amp;""</f>
        <v>within 2 days of report of breach.</v>
      </c>
      <c r="E202" s="350" t="str">
        <f>VLOOKUP($A202,'Institution Evaluation'!$A$56:$K$346,5,0)&amp;""</f>
        <v>State how quickly the institution will be notified of a data breach or security incident.</v>
      </c>
      <c r="F202" s="195" t="str">
        <f>VLOOKUP($A202,'Institution Evaluation'!$A$56:$K$346,6,0)&amp;""</f>
        <v/>
      </c>
      <c r="G202" s="37" t="str">
        <f>VLOOKUP($A202,'Institution Evaluation'!$A$56:$K$346,7,0)&amp;""</f>
        <v>Yes</v>
      </c>
      <c r="H202" s="192" t="str">
        <f>VLOOKUP($A202,'Institution Evaluation'!$A$56:$K$346,8,0)&amp;""</f>
        <v/>
      </c>
      <c r="I202" s="52" t="str">
        <f>VLOOKUP($A202,'Institution Evaluation'!$A$56:$K$346,9,0)&amp;""</f>
        <v>Minor Importance</v>
      </c>
      <c r="J202" s="193" t="str">
        <f>VLOOKUP($A202,'Institution Evaluation'!$A$56:$K$346,10,0)&amp;""</f>
        <v/>
      </c>
      <c r="K202" s="55" t="str">
        <f>IF(VLOOKUP($A202,'Institution Evaluation'!$A$56:$K$346,10,0)=TRUE,"Yes","")</f>
        <v/>
      </c>
    </row>
    <row r="203" spans="1:11" ht="119">
      <c r="A203" s="25" t="s">
        <v>550</v>
      </c>
      <c r="B203" s="24" t="str">
        <f>VLOOKUP($A203,Questions!$A$2:$X$333,2,0)</f>
        <v>Do you have an information security awareness program?</v>
      </c>
      <c r="C203" s="52" t="str">
        <f>VLOOKUP($A203,'Institution Evaluation'!$A$56:$K$346,3,0)&amp;""</f>
        <v>yes</v>
      </c>
      <c r="D203" s="52" t="str">
        <f>VLOOKUP($A203,'Institution Evaluation'!$A$56:$K$346,4,0)&amp;""</f>
        <v>Policies governing data handling, breach notification, and access are documented and followed by the system owner/operator and contracto</v>
      </c>
      <c r="E203" s="350" t="str">
        <f>VLOOKUP($A203,'Institution Evaluation'!$A$56:$K$346,5,0)&amp;""</f>
        <v>Summarize your information security awareness program.</v>
      </c>
      <c r="F203" s="195" t="str">
        <f>VLOOKUP($A203,'Institution Evaluation'!$A$56:$K$346,6,0)&amp;""</f>
        <v/>
      </c>
      <c r="G203" s="37" t="str">
        <f>VLOOKUP($A203,'Institution Evaluation'!$A$56:$K$346,7,0)&amp;""</f>
        <v>Yes</v>
      </c>
      <c r="H203" s="192" t="str">
        <f>VLOOKUP($A203,'Institution Evaluation'!$A$56:$K$346,8,0)&amp;""</f>
        <v/>
      </c>
      <c r="I203" s="52" t="str">
        <f>VLOOKUP($A203,'Institution Evaluation'!$A$56:$K$346,9,0)&amp;""</f>
        <v>Minor Importance</v>
      </c>
      <c r="J203" s="193" t="str">
        <f>VLOOKUP($A203,'Institution Evaluation'!$A$56:$K$346,10,0)&amp;""</f>
        <v/>
      </c>
      <c r="K203" s="55" t="str">
        <f>IF(VLOOKUP($A203,'Institution Evaluation'!$A$56:$K$346,10,0)=TRUE,"Yes","")</f>
        <v/>
      </c>
    </row>
    <row r="204" spans="1:11" ht="68">
      <c r="A204" s="25" t="s">
        <v>555</v>
      </c>
      <c r="B204" s="24" t="str">
        <f>VLOOKUP($A204,Questions!$A$2:$X$333,2,0)</f>
        <v>Is security awareness training mandatory for all employees?</v>
      </c>
      <c r="C204" s="52" t="str">
        <f>VLOOKUP($A204,'Institution Evaluation'!$A$56:$K$346,3,0)&amp;""</f>
        <v>yes</v>
      </c>
      <c r="D204" s="52" t="str">
        <f>VLOOKUP($A204,'Institution Evaluation'!$A$56:$K$346,4,0)&amp;""</f>
        <v>Security awareness is reviewed with all personnel who have access to company systems or customer data. Due to the company's small size, this training is conducted internally rather than through a formal corporate training program.</v>
      </c>
      <c r="E204" s="350" t="str">
        <f>VLOOKUP($A204,'Institution Evaluation'!$A$56:$K$346,5,0)&amp;""</f>
        <v>Summarize your security awareness training content and state how frequently employees are required to undergo security awareness training.</v>
      </c>
      <c r="F204" s="195" t="str">
        <f>VLOOKUP($A204,'Institution Evaluation'!$A$56:$K$346,6,0)&amp;""</f>
        <v/>
      </c>
      <c r="G204" s="37" t="str">
        <f>VLOOKUP($A204,'Institution Evaluation'!$A$56:$K$346,7,0)&amp;""</f>
        <v>Yes</v>
      </c>
      <c r="H204" s="192" t="str">
        <f>VLOOKUP($A204,'Institution Evaluation'!$A$56:$K$346,8,0)&amp;""</f>
        <v/>
      </c>
      <c r="I204" s="52" t="str">
        <f>VLOOKUP($A204,'Institution Evaluation'!$A$56:$K$346,9,0)&amp;""</f>
        <v>Minor Importance</v>
      </c>
      <c r="J204" s="193" t="str">
        <f>VLOOKUP($A204,'Institution Evaluation'!$A$56:$K$346,10,0)&amp;""</f>
        <v/>
      </c>
      <c r="K204" s="55" t="str">
        <f>IF(VLOOKUP($A204,'Institution Evaluation'!$A$56:$K$346,10,0)=TRUE,"Yes","")</f>
        <v/>
      </c>
    </row>
    <row r="205" spans="1:11" ht="170">
      <c r="A205" s="25" t="s">
        <v>563</v>
      </c>
      <c r="B205" s="24" t="str">
        <f>VLOOKUP($A205,Questions!$A$2:$X$333,2,0)</f>
        <v>Do you have documented, and currently implemented, internal audit processes and procedures?</v>
      </c>
      <c r="C205" s="52" t="str">
        <f>VLOOKUP($A205,'Institution Evaluation'!$A$56:$K$346,3,0)&amp;""</f>
        <v>yes</v>
      </c>
      <c r="D205" s="52" t="str">
        <f>VLOOKUP($A205,'Institution Evaluation'!$A$56:$K$346,4,0)&amp;""</f>
        <v>America’s Software Corporation conducts periodic self-audits of access control, data retention, and backup practices. Infrastructure and hosting controls are independently audited through Liquid Web LLC’s SOC 2 report.</v>
      </c>
      <c r="E205" s="350" t="str">
        <f>VLOOKUP($A205,'Institution Evaluation'!$A$56:$K$346,5,0)&amp;""</f>
        <v>Summarize your internal audit processes and procedures.</v>
      </c>
      <c r="F205" s="195" t="str">
        <f>VLOOKUP($A205,'Institution Evaluation'!$A$56:$K$346,6,0)&amp;""</f>
        <v/>
      </c>
      <c r="G205" s="37" t="str">
        <f>VLOOKUP($A205,'Institution Evaluation'!$A$56:$K$346,7,0)&amp;""</f>
        <v>Yes</v>
      </c>
      <c r="H205" s="192" t="str">
        <f>VLOOKUP($A205,'Institution Evaluation'!$A$56:$K$346,8,0)&amp;""</f>
        <v/>
      </c>
      <c r="I205" s="52" t="str">
        <f>VLOOKUP($A205,'Institution Evaluation'!$A$56:$K$346,9,0)&amp;""</f>
        <v>Minor Importance</v>
      </c>
      <c r="J205" s="193" t="str">
        <f>VLOOKUP($A205,'Institution Evaluation'!$A$56:$K$346,10,0)&amp;""</f>
        <v/>
      </c>
      <c r="K205" s="55" t="str">
        <f>IF(VLOOKUP($A205,'Institution Evaluation'!$A$56:$K$346,10,0)=TRUE,"Yes","")</f>
        <v/>
      </c>
    </row>
    <row r="206" spans="1:11" ht="119">
      <c r="A206" s="25" t="s">
        <v>568</v>
      </c>
      <c r="B206" s="24" t="str">
        <f>VLOOKUP($A206,Questions!$A$2:$X$333,2,0)</f>
        <v>Does your organization have physical security controls and policies in place?</v>
      </c>
      <c r="C206" s="52" t="str">
        <f>VLOOKUP($A206,'Institution Evaluation'!$A$56:$K$346,3,0)&amp;""</f>
        <v>yes</v>
      </c>
      <c r="D206" s="52" t="str">
        <f>VLOOKUP($A206,'Institution Evaluation'!$A$56:$K$346,4,0)&amp;""</f>
        <v>Liquid Web LLC provides physical safety for their datacenter including employee badges and video cameras. See website terms/conditions</v>
      </c>
      <c r="E206" s="350" t="str">
        <f>VLOOKUP($A206,'Institution Evaluation'!$A$56:$K$346,5,0)&amp;""</f>
        <v>Provide a copy of your physical security controls and policies along with this document (link or attached).</v>
      </c>
      <c r="F206" s="195" t="str">
        <f>VLOOKUP($A206,'Institution Evaluation'!$A$56:$K$346,6,0)&amp;""</f>
        <v/>
      </c>
      <c r="G206" s="37" t="str">
        <f>VLOOKUP($A206,'Institution Evaluation'!$A$56:$K$346,7,0)&amp;""</f>
        <v>Yes</v>
      </c>
      <c r="H206" s="192" t="str">
        <f>VLOOKUP($A206,'Institution Evaluation'!$A$56:$K$346,8,0)&amp;""</f>
        <v/>
      </c>
      <c r="I206" s="52" t="str">
        <f>VLOOKUP($A206,'Institution Evaluation'!$A$56:$K$346,9,0)&amp;""</f>
        <v>Minor Importance</v>
      </c>
      <c r="J206" s="193" t="str">
        <f>VLOOKUP($A206,'Institution Evaluation'!$A$56:$K$346,10,0)&amp;""</f>
        <v/>
      </c>
      <c r="K206" s="55" t="str">
        <f>IF(VLOOKUP($A206,'Institution Evaluation'!$A$56:$K$346,10,0)=TRUE,"Yes","")</f>
        <v/>
      </c>
    </row>
    <row r="207" spans="1:11" s="1" customFormat="1" ht="18">
      <c r="A207" s="70" t="str">
        <f>VLOOKUP(LEFT($A208,4),'Auto Responses'!$N$4:$O$38,2,0)&amp;""</f>
        <v xml:space="preserve"> Incident Handling</v>
      </c>
      <c r="B207" s="29"/>
      <c r="C207" s="38"/>
      <c r="D207" s="38"/>
      <c r="E207" s="351"/>
      <c r="F207" s="139" t="s">
        <v>1089</v>
      </c>
      <c r="G207" s="358" t="s">
        <v>925</v>
      </c>
      <c r="H207" s="358" t="s">
        <v>927</v>
      </c>
      <c r="I207" s="358" t="s">
        <v>19</v>
      </c>
      <c r="J207" s="358" t="s">
        <v>912</v>
      </c>
      <c r="K207" s="38"/>
    </row>
    <row r="208" spans="1:11" ht="356">
      <c r="A208" s="25" t="s">
        <v>573</v>
      </c>
      <c r="B208" s="24" t="str">
        <f>VLOOKUP($A208,Questions!$A$2:$X$333,2,0)</f>
        <v>Do you have a formal incident response plan?</v>
      </c>
      <c r="C208" s="52" t="str">
        <f>VLOOKUP($A208,'Institution Evaluation'!$A$56:$K$346,3,0)&amp;""</f>
        <v>yes</v>
      </c>
      <c r="D208" s="52" t="str">
        <f>VLOOKUP($A208,'Institution Evaluation'!$A$56:$K$346,4,0)&amp;""</f>
        <v>Reporting of Suspected and Actual Breaches. America’s Software Corporation will notify Customer by telephone and email. In no event shall the report be made more than two (2) business days after a breach has occurred. Any breach may be grounds for immediate termination of this Agreement by the Customer. America’s Software Corporation will be responsible for the cost of the breach if breach is due to negligence by us or our employees.</v>
      </c>
      <c r="E208" s="350" t="str">
        <f>VLOOKUP($A208,'Institution Evaluation'!$A$56:$K$346,5,0)&amp;""</f>
        <v>Summarize or provide a link to your formal incident response plan.</v>
      </c>
      <c r="F208" s="195" t="str">
        <f>VLOOKUP($A208,'Institution Evaluation'!$A$56:$K$346,6,0)&amp;""</f>
        <v/>
      </c>
      <c r="G208" s="37" t="str">
        <f>VLOOKUP($A208,'Institution Evaluation'!$A$56:$K$346,7,0)&amp;""</f>
        <v>Yes</v>
      </c>
      <c r="H208" s="192" t="str">
        <f>VLOOKUP($A208,'Institution Evaluation'!$A$56:$K$346,8,0)&amp;""</f>
        <v/>
      </c>
      <c r="I208" s="52" t="str">
        <f>VLOOKUP($A208,'Institution Evaluation'!$A$56:$K$346,9,0)&amp;""</f>
        <v>Standard Importance</v>
      </c>
      <c r="J208" s="193" t="str">
        <f>VLOOKUP($A208,'Institution Evaluation'!$A$56:$K$346,10,0)&amp;""</f>
        <v/>
      </c>
      <c r="K208" s="55" t="str">
        <f>IF(VLOOKUP($A208,'Institution Evaluation'!$A$56:$K$346,10,0)=TRUE,"Yes","")</f>
        <v/>
      </c>
    </row>
    <row r="209" spans="1:11" ht="102">
      <c r="A209" s="25" t="s">
        <v>577</v>
      </c>
      <c r="B209" s="24" t="str">
        <f>VLOOKUP($A209,Questions!$A$2:$X$333,2,0)</f>
        <v>Do you either have an internal incident response team or retain an external team?</v>
      </c>
      <c r="C209" s="52" t="str">
        <f>VLOOKUP($A209,'Institution Evaluation'!$A$56:$K$346,3,0)&amp;""</f>
        <v>yes</v>
      </c>
      <c r="D209" s="52" t="str">
        <f>VLOOKUP($A209,'Institution Evaluation'!$A$56:$K$346,4,0)&amp;""</f>
        <v xml:space="preserve">Incident response capability is provided through Liquid Web LLC. Also ASC Presient will notify users within 2 business days.  </v>
      </c>
      <c r="E209" s="350" t="str">
        <f>VLOOKUP($A209,'Institution Evaluation'!$A$56:$K$346,5,0)&amp;""</f>
        <v>Summarize your incident response and reporting processes.</v>
      </c>
      <c r="F209" s="195" t="str">
        <f>VLOOKUP($A209,'Institution Evaluation'!$A$56:$K$346,6,0)&amp;""</f>
        <v/>
      </c>
      <c r="G209" s="37" t="str">
        <f>VLOOKUP($A209,'Institution Evaluation'!$A$56:$K$346,7,0)&amp;""</f>
        <v>Yes</v>
      </c>
      <c r="H209" s="192" t="str">
        <f>VLOOKUP($A209,'Institution Evaluation'!$A$56:$K$346,8,0)&amp;""</f>
        <v/>
      </c>
      <c r="I209" s="52" t="str">
        <f>VLOOKUP($A209,'Institution Evaluation'!$A$56:$K$346,9,0)&amp;""</f>
        <v>Minor Importance</v>
      </c>
      <c r="J209" s="193" t="str">
        <f>VLOOKUP($A209,'Institution Evaluation'!$A$56:$K$346,10,0)&amp;""</f>
        <v/>
      </c>
      <c r="K209" s="55" t="str">
        <f>IF(VLOOKUP($A209,'Institution Evaluation'!$A$56:$K$346,10,0)=TRUE,"Yes","")</f>
        <v/>
      </c>
    </row>
    <row r="210" spans="1:11" ht="153">
      <c r="A210" s="25" t="s">
        <v>581</v>
      </c>
      <c r="B210" s="24" t="str">
        <f>VLOOKUP($A210,Questions!$A$2:$X$333,2,0)</f>
        <v>Do you have the capability to respond to incidents on a 24 x 7 x 365 basis?</v>
      </c>
      <c r="C210" s="52" t="str">
        <f>VLOOKUP($A210,'Institution Evaluation'!$A$56:$K$346,3,0)&amp;""</f>
        <v>No</v>
      </c>
      <c r="D210" s="52" t="str">
        <f>VLOOKUP($A210,'Institution Evaluation'!$A$56:$K$346,4,0)&amp;""</f>
        <v>Incident response capability is provided through Liquid Web LLC,  which offers 24 x 7 x 365 monitoring, alerting, and incident response as part of its managed hosting services.</v>
      </c>
      <c r="E210" s="350" t="str">
        <f>VLOOKUP($A210,'Institution Evaluation'!$A$56:$K$346,5,0)&amp;""</f>
        <v>State plans for acquiring internal resources or an external team.</v>
      </c>
      <c r="F210" s="195" t="str">
        <f>VLOOKUP($A210,'Institution Evaluation'!$A$56:$K$346,6,0)&amp;""</f>
        <v/>
      </c>
      <c r="G210" s="37" t="str">
        <f>VLOOKUP($A210,'Institution Evaluation'!$A$56:$K$346,7,0)&amp;""</f>
        <v>Yes</v>
      </c>
      <c r="H210" s="192" t="str">
        <f>VLOOKUP($A210,'Institution Evaluation'!$A$56:$K$346,8,0)&amp;""</f>
        <v/>
      </c>
      <c r="I210" s="52" t="str">
        <f>VLOOKUP($A210,'Institution Evaluation'!$A$56:$K$346,9,0)&amp;""</f>
        <v>Minor Importance</v>
      </c>
      <c r="J210" s="193" t="str">
        <f>VLOOKUP($A210,'Institution Evaluation'!$A$56:$K$346,10,0)&amp;""</f>
        <v/>
      </c>
      <c r="K210" s="55" t="str">
        <f>IF(VLOOKUP($A210,'Institution Evaluation'!$A$56:$K$346,10,0)=TRUE,"Yes","")</f>
        <v/>
      </c>
    </row>
    <row r="211" spans="1:11" ht="51">
      <c r="A211" s="25" t="s">
        <v>585</v>
      </c>
      <c r="B211" s="24" t="str">
        <f>VLOOKUP($A211,Questions!$A$2:$X$333,2,0)</f>
        <v>Do you carry cyber-risk insurance to protect against unforeseen service outages, data that is lost or stolen, and security incidents?</v>
      </c>
      <c r="C211" s="52" t="str">
        <f>VLOOKUP($A211,'Institution Evaluation'!$A$56:$K$346,3,0)&amp;""</f>
        <v>yes</v>
      </c>
      <c r="D211" s="52" t="str">
        <f>VLOOKUP($A211,'Institution Evaluation'!$A$56:$K$346,4,0)&amp;""</f>
        <v>1,000 cybersecurity insurance and 1,000 general liability isurance</v>
      </c>
      <c r="E211" s="350" t="str">
        <f>VLOOKUP($A211,'Institution Evaluation'!$A$56:$K$346,5,0)&amp;""</f>
        <v>Describe the coverage in place for this solution.</v>
      </c>
      <c r="F211" s="195" t="str">
        <f>VLOOKUP($A211,'Institution Evaluation'!$A$56:$K$346,6,0)&amp;""</f>
        <v/>
      </c>
      <c r="G211" s="37" t="str">
        <f>VLOOKUP($A211,'Institution Evaluation'!$A$56:$K$346,7,0)&amp;""</f>
        <v>Yes</v>
      </c>
      <c r="H211" s="192" t="str">
        <f>VLOOKUP($A211,'Institution Evaluation'!$A$56:$K$346,8,0)&amp;""</f>
        <v/>
      </c>
      <c r="I211" s="52" t="str">
        <f>VLOOKUP($A211,'Institution Evaluation'!$A$56:$K$346,9,0)&amp;""</f>
        <v>Minor Importance</v>
      </c>
      <c r="J211" s="193" t="str">
        <f>VLOOKUP($A211,'Institution Evaluation'!$A$56:$K$346,10,0)&amp;""</f>
        <v/>
      </c>
      <c r="K211" s="55" t="str">
        <f>IF(VLOOKUP($A211,'Institution Evaluation'!$A$56:$K$346,10,0)=TRUE,"Yes","")</f>
        <v/>
      </c>
    </row>
    <row r="212" spans="1:11" s="1" customFormat="1" ht="18">
      <c r="A212" s="70" t="str">
        <f>VLOOKUP(LEFT($A213,4),'Auto Responses'!$N$4:$O$38,2,0)&amp;""</f>
        <v xml:space="preserve"> Vulnerability Management</v>
      </c>
      <c r="B212" s="29"/>
      <c r="C212" s="38"/>
      <c r="D212" s="38"/>
      <c r="E212" s="351"/>
      <c r="F212" s="139" t="s">
        <v>1089</v>
      </c>
      <c r="G212" s="358" t="s">
        <v>925</v>
      </c>
      <c r="H212" s="358" t="s">
        <v>927</v>
      </c>
      <c r="I212" s="358" t="s">
        <v>19</v>
      </c>
      <c r="J212" s="358" t="s">
        <v>912</v>
      </c>
      <c r="K212" s="38"/>
    </row>
    <row r="213" spans="1:11" ht="289">
      <c r="A213" s="25" t="s">
        <v>588</v>
      </c>
      <c r="B213" s="24" t="str">
        <f>VLOOKUP($A213,Questions!$A$2:$X$333,2,0)</f>
        <v>Are your systems and applications scanned with an authenticated user account for vulnerabilities (that are remediated) prior to new releases?*</v>
      </c>
      <c r="C213" s="52" t="str">
        <f>VLOOKUP($A213,'Institution Evaluation'!$A$56:$K$346,3,0)&amp;""</f>
        <v>yes</v>
      </c>
      <c r="D213" s="52" t="str">
        <f>VLOOKUP($A213,'Institution Evaluation'!$A$56:$K$346,4,0)&amp;""</f>
        <v>We use  ImmuniWeb AI-powered security testing, including scans performed with authenticated test accounts. Scans are conducted prior to new releases, and any identified vulnerabilities are remediated before deployment. Hosting provider Liquid Web LLC performs additional infrastructure-level vulnerability monitoring as part of its SOC 2–audited services</v>
      </c>
      <c r="E213" s="350" t="str">
        <f>VLOOKUP($A213,'Institution Evaluation'!$A$56:$K$346,5,0)&amp;""</f>
        <v>Provide a brief description.</v>
      </c>
      <c r="F213" s="195" t="str">
        <f>VLOOKUP($A213,'Institution Evaluation'!$A$56:$K$346,6,0)&amp;""</f>
        <v/>
      </c>
      <c r="G213" s="37" t="str">
        <f>VLOOKUP($A213,'Institution Evaluation'!$A$56:$K$346,7,0)&amp;""</f>
        <v>Yes</v>
      </c>
      <c r="H213" s="192" t="str">
        <f>VLOOKUP($A213,'Institution Evaluation'!$A$56:$K$346,8,0)&amp;""</f>
        <v/>
      </c>
      <c r="I213" s="52" t="str">
        <f>VLOOKUP($A213,'Institution Evaluation'!$A$56:$K$346,9,0)&amp;""</f>
        <v>Critical Importance</v>
      </c>
      <c r="J213" s="193" t="str">
        <f>VLOOKUP($A213,'Institution Evaluation'!$A$56:$K$346,10,0)&amp;""</f>
        <v/>
      </c>
      <c r="K213" s="55" t="str">
        <f>IF(VLOOKUP($A213,'Institution Evaluation'!$A$56:$K$346,10,0)=TRUE,"Yes","")</f>
        <v/>
      </c>
    </row>
    <row r="214" spans="1:11" ht="204">
      <c r="A214" s="25" t="s">
        <v>592</v>
      </c>
      <c r="B214" s="24" t="str">
        <f>VLOOKUP($A214,Questions!$A$2:$X$333,2,0)</f>
        <v>Will you provide results of application and system vulnerability scans to the institution?*</v>
      </c>
      <c r="C214" s="52" t="str">
        <f>VLOOKUP($A214,'Institution Evaluation'!$A$56:$K$346,3,0)&amp;""</f>
        <v>yes</v>
      </c>
      <c r="D214" s="52" t="str">
        <f>VLOOKUP($A214,'Institution Evaluation'!$A$56:$K$346,4,0)&amp;""</f>
        <v>Infrastructure vulnerability scanning is performed by hosting provider Liquid Web LLC as part of its SOC 2–audited managed services. While raw provider system scan results are not shared directly, institutional assurances are available through SOC reports.</v>
      </c>
      <c r="E214" s="350" t="str">
        <f>VLOOKUP($A214,'Institution Evaluation'!$A$56:$K$346,5,0)&amp;""</f>
        <v>Provide a reference to security scan documentation.</v>
      </c>
      <c r="F214" s="195" t="str">
        <f>VLOOKUP($A214,'Institution Evaluation'!$A$56:$K$346,6,0)&amp;""</f>
        <v/>
      </c>
      <c r="G214" s="37" t="str">
        <f>VLOOKUP($A214,'Institution Evaluation'!$A$56:$K$346,7,0)&amp;""</f>
        <v>Yes</v>
      </c>
      <c r="H214" s="192" t="str">
        <f>VLOOKUP($A214,'Institution Evaluation'!$A$56:$K$346,8,0)&amp;""</f>
        <v/>
      </c>
      <c r="I214" s="52" t="str">
        <f>VLOOKUP($A214,'Institution Evaluation'!$A$56:$K$346,9,0)&amp;""</f>
        <v>Critical Importance</v>
      </c>
      <c r="J214" s="193" t="str">
        <f>VLOOKUP($A214,'Institution Evaluation'!$A$56:$K$346,10,0)&amp;""</f>
        <v/>
      </c>
      <c r="K214" s="55" t="str">
        <f>IF(VLOOKUP($A214,'Institution Evaluation'!$A$56:$K$346,10,0)=TRUE,"Yes","")</f>
        <v/>
      </c>
    </row>
    <row r="215" spans="1:11" ht="238">
      <c r="A215" s="25" t="s">
        <v>599</v>
      </c>
      <c r="B215" s="24" t="str">
        <f>VLOOKUP($A215,Questions!$A$2:$X$333,2,0)</f>
        <v>Have your systems and applications had a third-party security assessment completed in the last year?</v>
      </c>
      <c r="C215" s="52" t="str">
        <f>VLOOKUP($A215,'Institution Evaluation'!$A$56:$K$346,3,0)&amp;""</f>
        <v>yes</v>
      </c>
      <c r="D215" s="52" t="str">
        <f>VLOOKUP($A215,'Institution Evaluation'!$A$56:$K$346,4,0)&amp;""</f>
        <v>Yes. Hosting provider Liquid Web LLC undergoes independent SOC 2 audits annually, covering infrastructure security, availability, and confidentiality controls. In addition, America’s Software Corporation uses ImmuniWeb for third-party vulnerability scanning of its web applications (TalEval and Discovery Pro)</v>
      </c>
      <c r="E215" s="350" t="str">
        <f>VLOOKUP($A215,'Institution Evaluation'!$A$56:$K$346,5,0)&amp;""</f>
        <v>Provide the results with this document (link or attached), if possible. State the date of the last completed third-party security assessment.</v>
      </c>
      <c r="F215" s="195" t="str">
        <f>VLOOKUP($A215,'Institution Evaluation'!$A$56:$K$346,6,0)&amp;""</f>
        <v/>
      </c>
      <c r="G215" s="37" t="str">
        <f>VLOOKUP($A215,'Institution Evaluation'!$A$56:$K$346,7,0)&amp;""</f>
        <v>Yes</v>
      </c>
      <c r="H215" s="192" t="str">
        <f>VLOOKUP($A215,'Institution Evaluation'!$A$56:$K$346,8,0)&amp;""</f>
        <v/>
      </c>
      <c r="I215" s="52" t="str">
        <f>VLOOKUP($A215,'Institution Evaluation'!$A$56:$K$346,9,0)&amp;""</f>
        <v>Standard Importance</v>
      </c>
      <c r="J215" s="193" t="str">
        <f>VLOOKUP($A215,'Institution Evaluation'!$A$56:$K$346,10,0)&amp;""</f>
        <v/>
      </c>
      <c r="K215" s="55" t="str">
        <f>IF(VLOOKUP($A215,'Institution Evaluation'!$A$56:$K$346,10,0)=TRUE,"Yes","")</f>
        <v/>
      </c>
    </row>
    <row r="216" spans="1:11" ht="289">
      <c r="A216" s="25" t="s">
        <v>604</v>
      </c>
      <c r="B216" s="24" t="str">
        <f>VLOOKUP($A216,Questions!$A$2:$X$333,2,0)</f>
        <v>Are your systems and applications regularly scanned externally for vulnerabilities?</v>
      </c>
      <c r="C216" s="52" t="str">
        <f>VLOOKUP($A216,'Institution Evaluation'!$A$56:$K$346,3,0)&amp;""</f>
        <v>yes</v>
      </c>
      <c r="D216" s="52" t="str">
        <f>VLOOKUP($A216,'Institution Evaluation'!$A$56:$K$346,4,0)&amp;""</f>
        <v>Liquid Web LLC performs continuous infrastructure-level vulnerability monitoring using ThreatStack. In addition, America’s Software Corporation uses ImmuniWeb to regularly scan TalEval and Discovery Pro applications for common web vulnerabilities, leaked/malicious code, and configuration weaknesses. Findings are remediated as needed</v>
      </c>
      <c r="E216" s="350" t="str">
        <f>VLOOKUP($A216,'Institution Evaluation'!$A$56:$K$346,5,0)&amp;""</f>
        <v>Decribe your external application vulnerability scanning strategy.</v>
      </c>
      <c r="F216" s="195" t="str">
        <f>VLOOKUP($A216,'Institution Evaluation'!$A$56:$K$346,6,0)&amp;""</f>
        <v/>
      </c>
      <c r="G216" s="37" t="str">
        <f>VLOOKUP($A216,'Institution Evaluation'!$A$56:$K$346,7,0)&amp;""</f>
        <v>Yes</v>
      </c>
      <c r="H216" s="192" t="str">
        <f>VLOOKUP($A216,'Institution Evaluation'!$A$56:$K$346,8,0)&amp;""</f>
        <v/>
      </c>
      <c r="I216" s="52" t="str">
        <f>VLOOKUP($A216,'Institution Evaluation'!$A$56:$K$346,9,0)&amp;""</f>
        <v>Minor Importance</v>
      </c>
      <c r="J216" s="193" t="str">
        <f>VLOOKUP($A216,'Institution Evaluation'!$A$56:$K$346,10,0)&amp;""</f>
        <v/>
      </c>
      <c r="K216" s="55" t="str">
        <f>IF(VLOOKUP($A216,'Institution Evaluation'!$A$56:$K$346,10,0)=TRUE,"Yes","")</f>
        <v/>
      </c>
    </row>
    <row r="217" spans="1:11" s="1" customFormat="1" ht="18">
      <c r="A217" s="70" t="str">
        <f>VLOOKUP(LEFT($A218,4),'Auto Responses'!$N$4:$O$38,2,0)&amp;""</f>
        <v xml:space="preserve">HIPAA Compliance </v>
      </c>
      <c r="B217" s="29"/>
      <c r="C217" s="38"/>
      <c r="D217" s="38"/>
      <c r="E217" s="351"/>
      <c r="F217" s="139" t="s">
        <v>1089</v>
      </c>
      <c r="G217" s="358" t="s">
        <v>925</v>
      </c>
      <c r="H217" s="358" t="s">
        <v>927</v>
      </c>
      <c r="I217" s="358" t="s">
        <v>19</v>
      </c>
      <c r="J217" s="358" t="s">
        <v>912</v>
      </c>
      <c r="K217" s="38"/>
    </row>
    <row r="218" spans="1:11" ht="102">
      <c r="A218" s="25" t="s">
        <v>607</v>
      </c>
      <c r="B218" s="24" t="str">
        <f>VLOOKUP($A218,Questions!$A$2:$X$333,2,0)</f>
        <v>Do your workforce members receive regular training related to the Health Insurance Portability and Accountability Act (HIPAA) Privacy and Security Rules and the HITECH Act?*</v>
      </c>
      <c r="C218" s="52" t="str">
        <f>VLOOKUP($A218,'Institution Evaluation'!$A$56:$K$346,3,0)&amp;""</f>
        <v/>
      </c>
      <c r="D218" s="52" t="str">
        <f>VLOOKUP($A218,'Institution Evaluation'!$A$56:$K$346,4,0)&amp;""</f>
        <v/>
      </c>
      <c r="E218" s="350" t="str">
        <f>VLOOKUP($A218,'Institution Evaluation'!$A$56:$K$346,5,0)&amp;""</f>
        <v>Based on the response to REQU-05 on the "START HERE" tab, this question does not apply to this product or service.</v>
      </c>
      <c r="F218" s="195" t="str">
        <f>VLOOKUP($A218,'Institution Evaluation'!$A$56:$K$346,6,0)&amp;""</f>
        <v/>
      </c>
      <c r="G218" s="37" t="str">
        <f>VLOOKUP($A218,'Institution Evaluation'!$A$56:$K$346,7,0)&amp;""</f>
        <v>Yes</v>
      </c>
      <c r="H218" s="192" t="str">
        <f>VLOOKUP($A218,'Institution Evaluation'!$A$56:$K$346,8,0)&amp;""</f>
        <v/>
      </c>
      <c r="I218" s="52" t="str">
        <f>VLOOKUP($A218,'Institution Evaluation'!$A$56:$K$346,9,0)&amp;""</f>
        <v>Critical Importance</v>
      </c>
      <c r="J218" s="193" t="str">
        <f>VLOOKUP($A218,'Institution Evaluation'!$A$56:$K$346,10,0)&amp;""</f>
        <v/>
      </c>
      <c r="K218" s="55" t="str">
        <f>IF(VLOOKUP($A218,'Institution Evaluation'!$A$56:$K$346,10,0)=TRUE,"Yes","")</f>
        <v/>
      </c>
    </row>
    <row r="219" spans="1:11" ht="102">
      <c r="A219" s="25" t="s">
        <v>612</v>
      </c>
      <c r="B219" s="24" t="str">
        <f>VLOOKUP($A219,Questions!$A$2:$X$333,2,0)</f>
        <v>Have you identified areas of risk?*</v>
      </c>
      <c r="C219" s="52" t="str">
        <f>VLOOKUP($A219,'Institution Evaluation'!$A$56:$K$346,3,0)&amp;""</f>
        <v/>
      </c>
      <c r="D219" s="52" t="str">
        <f>VLOOKUP($A219,'Institution Evaluation'!$A$56:$K$346,4,0)&amp;""</f>
        <v/>
      </c>
      <c r="E219" s="350" t="str">
        <f>VLOOKUP($A219,'Institution Evaluation'!$A$56:$K$346,5,0)&amp;""</f>
        <v>Based on the response to REQU-05 on the "START HERE" tab, this question does not apply to this product or service.</v>
      </c>
      <c r="F219" s="195" t="str">
        <f>VLOOKUP($A219,'Institution Evaluation'!$A$56:$K$346,6,0)&amp;""</f>
        <v/>
      </c>
      <c r="G219" s="37" t="str">
        <f>VLOOKUP($A219,'Institution Evaluation'!$A$56:$K$346,7,0)&amp;""</f>
        <v>Yes</v>
      </c>
      <c r="H219" s="192" t="str">
        <f>VLOOKUP($A219,'Institution Evaluation'!$A$56:$K$346,8,0)&amp;""</f>
        <v/>
      </c>
      <c r="I219" s="52" t="str">
        <f>VLOOKUP($A219,'Institution Evaluation'!$A$56:$K$346,9,0)&amp;""</f>
        <v>Critical Importance</v>
      </c>
      <c r="J219" s="193" t="str">
        <f>VLOOKUP($A219,'Institution Evaluation'!$A$56:$K$346,10,0)&amp;""</f>
        <v/>
      </c>
      <c r="K219" s="55" t="str">
        <f>IF(VLOOKUP($A219,'Institution Evaluation'!$A$56:$K$346,10,0)=TRUE,"Yes","")</f>
        <v/>
      </c>
    </row>
    <row r="220" spans="1:11" ht="102">
      <c r="A220" s="25" t="s">
        <v>614</v>
      </c>
      <c r="B220" s="24" t="str">
        <f>VLOOKUP($A220,Questions!$A$2:$X$333,2,0)</f>
        <v>Have the relevant policies/plans been tested?*</v>
      </c>
      <c r="C220" s="52" t="str">
        <f>VLOOKUP($A220,'Institution Evaluation'!$A$56:$K$346,3,0)&amp;""</f>
        <v/>
      </c>
      <c r="D220" s="52" t="str">
        <f>VLOOKUP($A220,'Institution Evaluation'!$A$56:$K$346,4,0)&amp;""</f>
        <v/>
      </c>
      <c r="E220" s="350" t="str">
        <f>VLOOKUP($A220,'Institution Evaluation'!$A$56:$K$346,5,0)&amp;""</f>
        <v>Based on the response to REQU-05 on the "START HERE" tab, this question does not apply to this product or service.</v>
      </c>
      <c r="F220" s="195" t="str">
        <f>VLOOKUP($A220,'Institution Evaluation'!$A$56:$K$346,6,0)&amp;""</f>
        <v/>
      </c>
      <c r="G220" s="37" t="str">
        <f>VLOOKUP($A220,'Institution Evaluation'!$A$56:$K$346,7,0)&amp;""</f>
        <v>Yes</v>
      </c>
      <c r="H220" s="192" t="str">
        <f>VLOOKUP($A220,'Institution Evaluation'!$A$56:$K$346,8,0)&amp;""</f>
        <v/>
      </c>
      <c r="I220" s="52" t="str">
        <f>VLOOKUP($A220,'Institution Evaluation'!$A$56:$K$346,9,0)&amp;""</f>
        <v>Critical Importance</v>
      </c>
      <c r="J220" s="193" t="str">
        <f>VLOOKUP($A220,'Institution Evaluation'!$A$56:$K$346,10,0)&amp;""</f>
        <v/>
      </c>
      <c r="K220" s="55" t="str">
        <f>IF(VLOOKUP($A220,'Institution Evaluation'!$A$56:$K$346,10,0)=TRUE,"Yes","")</f>
        <v/>
      </c>
    </row>
    <row r="221" spans="1:11" ht="102">
      <c r="A221" s="25" t="s">
        <v>616</v>
      </c>
      <c r="B221" s="24" t="str">
        <f>VLOOKUP($A221,Questions!$A$2:$X$333,2,0)</f>
        <v>Have you entered into a Business Associate Agreements with all subcontractors who may have access to protected health information (PHI)?*</v>
      </c>
      <c r="C221" s="52" t="str">
        <f>VLOOKUP($A221,'Institution Evaluation'!$A$56:$K$346,3,0)&amp;""</f>
        <v/>
      </c>
      <c r="D221" s="52" t="str">
        <f>VLOOKUP($A221,'Institution Evaluation'!$A$56:$K$346,4,0)&amp;""</f>
        <v/>
      </c>
      <c r="E221" s="350" t="str">
        <f>VLOOKUP($A221,'Institution Evaluation'!$A$56:$K$346,5,0)&amp;""</f>
        <v>Based on the response to REQU-05 on the "START HERE" tab, this question does not apply to this product or service.</v>
      </c>
      <c r="F221" s="195" t="str">
        <f>VLOOKUP($A221,'Institution Evaluation'!$A$56:$K$346,6,0)&amp;""</f>
        <v/>
      </c>
      <c r="G221" s="37" t="str">
        <f>VLOOKUP($A221,'Institution Evaluation'!$A$56:$K$346,7,0)&amp;""</f>
        <v>Yes</v>
      </c>
      <c r="H221" s="192" t="str">
        <f>VLOOKUP($A221,'Institution Evaluation'!$A$56:$K$346,8,0)&amp;""</f>
        <v/>
      </c>
      <c r="I221" s="52" t="str">
        <f>VLOOKUP($A221,'Institution Evaluation'!$A$56:$K$346,9,0)&amp;""</f>
        <v>Critical Importance</v>
      </c>
      <c r="J221" s="193" t="str">
        <f>VLOOKUP($A221,'Institution Evaluation'!$A$56:$K$346,10,0)&amp;""</f>
        <v/>
      </c>
      <c r="K221" s="55" t="str">
        <f>IF(VLOOKUP($A221,'Institution Evaluation'!$A$56:$K$346,10,0)=TRUE,"Yes","")</f>
        <v/>
      </c>
    </row>
    <row r="222" spans="1:11" ht="102">
      <c r="A222" s="25" t="s">
        <v>618</v>
      </c>
      <c r="B222" s="24" t="str">
        <f>VLOOKUP($A222,Questions!$A$2:$X$333,2,0)</f>
        <v>Do you monitor or receive information regarding changes in HIPAA regulations?</v>
      </c>
      <c r="C222" s="52" t="str">
        <f>VLOOKUP($A222,'Institution Evaluation'!$A$56:$K$346,3,0)&amp;""</f>
        <v/>
      </c>
      <c r="D222" s="52" t="str">
        <f>VLOOKUP($A222,'Institution Evaluation'!$A$56:$K$346,4,0)&amp;""</f>
        <v/>
      </c>
      <c r="E222" s="350" t="str">
        <f>VLOOKUP($A222,'Institution Evaluation'!$A$56:$K$346,5,0)&amp;""</f>
        <v>Based on the response to REQU-05 on the "START HERE" tab, this question does not apply to this product or service.</v>
      </c>
      <c r="F222" s="195" t="str">
        <f>VLOOKUP($A222,'Institution Evaluation'!$A$56:$K$346,6,0)&amp;""</f>
        <v/>
      </c>
      <c r="G222" s="37" t="str">
        <f>VLOOKUP($A222,'Institution Evaluation'!$A$56:$K$346,7,0)&amp;""</f>
        <v>Yes</v>
      </c>
      <c r="H222" s="192" t="str">
        <f>VLOOKUP($A222,'Institution Evaluation'!$A$56:$K$346,8,0)&amp;""</f>
        <v/>
      </c>
      <c r="I222" s="52" t="str">
        <f>VLOOKUP($A222,'Institution Evaluation'!$A$56:$K$346,9,0)&amp;""</f>
        <v>Standard Importance</v>
      </c>
      <c r="J222" s="193" t="str">
        <f>VLOOKUP($A222,'Institution Evaluation'!$A$56:$K$346,10,0)&amp;""</f>
        <v/>
      </c>
      <c r="K222" s="55" t="str">
        <f>IF(VLOOKUP($A222,'Institution Evaluation'!$A$56:$K$346,10,0)=TRUE,"Yes","")</f>
        <v/>
      </c>
    </row>
    <row r="223" spans="1:11" ht="102">
      <c r="A223" s="25" t="s">
        <v>619</v>
      </c>
      <c r="B223" s="24" t="str">
        <f>VLOOKUP($A223,Questions!$A$2:$X$333,2,0)</f>
        <v>Has your organization designated HIPAA Privacy and Security officers as required by the rules?</v>
      </c>
      <c r="C223" s="52" t="str">
        <f>VLOOKUP($A223,'Institution Evaluation'!$A$56:$K$346,3,0)&amp;""</f>
        <v/>
      </c>
      <c r="D223" s="52" t="str">
        <f>VLOOKUP($A223,'Institution Evaluation'!$A$56:$K$346,4,0)&amp;""</f>
        <v/>
      </c>
      <c r="E223" s="350" t="str">
        <f>VLOOKUP($A223,'Institution Evaluation'!$A$56:$K$346,5,0)&amp;""</f>
        <v>Based on the response to REQU-05 on the "START HERE" tab, this question does not apply to this product or service.</v>
      </c>
      <c r="F223" s="195" t="str">
        <f>VLOOKUP($A223,'Institution Evaluation'!$A$56:$K$346,6,0)&amp;""</f>
        <v/>
      </c>
      <c r="G223" s="37" t="str">
        <f>VLOOKUP($A223,'Institution Evaluation'!$A$56:$K$346,7,0)&amp;""</f>
        <v>Yes</v>
      </c>
      <c r="H223" s="192" t="str">
        <f>VLOOKUP($A223,'Institution Evaluation'!$A$56:$K$346,8,0)&amp;""</f>
        <v/>
      </c>
      <c r="I223" s="52" t="str">
        <f>VLOOKUP($A223,'Institution Evaluation'!$A$56:$K$346,9,0)&amp;""</f>
        <v>Standard Importance</v>
      </c>
      <c r="J223" s="193" t="str">
        <f>VLOOKUP($A223,'Institution Evaluation'!$A$56:$K$346,10,0)&amp;""</f>
        <v/>
      </c>
      <c r="K223" s="55" t="str">
        <f>IF(VLOOKUP($A223,'Institution Evaluation'!$A$56:$K$346,10,0)=TRUE,"Yes","")</f>
        <v/>
      </c>
    </row>
    <row r="224" spans="1:11" ht="102">
      <c r="A224" s="25" t="s">
        <v>620</v>
      </c>
      <c r="B224" s="24" t="str">
        <f>VLOOKUP($A224,Questions!$A$2:$X$333,2,0)</f>
        <v>Do you comply with the requirements of the Health Information Technology for Economic and Clinical Health Act (HITECH)?</v>
      </c>
      <c r="C224" s="52" t="str">
        <f>VLOOKUP($A224,'Institution Evaluation'!$A$56:$K$346,3,0)&amp;""</f>
        <v/>
      </c>
      <c r="D224" s="52" t="str">
        <f>VLOOKUP($A224,'Institution Evaluation'!$A$56:$K$346,4,0)&amp;""</f>
        <v/>
      </c>
      <c r="E224" s="350" t="str">
        <f>VLOOKUP($A224,'Institution Evaluation'!$A$56:$K$346,5,0)&amp;""</f>
        <v>Based on the response to REQU-05 on the "START HERE" tab, this question does not apply to this product or service.</v>
      </c>
      <c r="F224" s="195" t="str">
        <f>VLOOKUP($A224,'Institution Evaluation'!$A$56:$K$346,6,0)&amp;""</f>
        <v/>
      </c>
      <c r="G224" s="37" t="str">
        <f>VLOOKUP($A224,'Institution Evaluation'!$A$56:$K$346,7,0)&amp;""</f>
        <v>Yes</v>
      </c>
      <c r="H224" s="192" t="str">
        <f>VLOOKUP($A224,'Institution Evaluation'!$A$56:$K$346,8,0)&amp;""</f>
        <v/>
      </c>
      <c r="I224" s="52" t="str">
        <f>VLOOKUP($A224,'Institution Evaluation'!$A$56:$K$346,9,0)&amp;""</f>
        <v>Standard Importance</v>
      </c>
      <c r="J224" s="193" t="str">
        <f>VLOOKUP($A224,'Institution Evaluation'!$A$56:$K$346,10,0)&amp;""</f>
        <v/>
      </c>
      <c r="K224" s="55" t="str">
        <f>IF(VLOOKUP($A224,'Institution Evaluation'!$A$56:$K$346,10,0)=TRUE,"Yes","")</f>
        <v/>
      </c>
    </row>
    <row r="225" spans="1:11" ht="102">
      <c r="A225" s="25" t="s">
        <v>622</v>
      </c>
      <c r="B225" s="24" t="str">
        <f>VLOOKUP($A225,Questions!$A$2:$X$333,2,0)</f>
        <v>Have you conducted a risk analysis as required under the HIPAA Security Rule?</v>
      </c>
      <c r="C225" s="52" t="str">
        <f>VLOOKUP($A225,'Institution Evaluation'!$A$56:$K$346,3,0)&amp;""</f>
        <v/>
      </c>
      <c r="D225" s="52" t="str">
        <f>VLOOKUP($A225,'Institution Evaluation'!$A$56:$K$346,4,0)&amp;""</f>
        <v/>
      </c>
      <c r="E225" s="350" t="str">
        <f>VLOOKUP($A225,'Institution Evaluation'!$A$56:$K$346,5,0)&amp;""</f>
        <v>Based on the response to REQU-05 on the "START HERE" tab, this question does not apply to this product or service.</v>
      </c>
      <c r="F225" s="195" t="str">
        <f>VLOOKUP($A225,'Institution Evaluation'!$A$56:$K$346,6,0)&amp;""</f>
        <v/>
      </c>
      <c r="G225" s="37" t="str">
        <f>VLOOKUP($A225,'Institution Evaluation'!$A$56:$K$346,7,0)&amp;""</f>
        <v>Yes</v>
      </c>
      <c r="H225" s="192" t="str">
        <f>VLOOKUP($A225,'Institution Evaluation'!$A$56:$K$346,8,0)&amp;""</f>
        <v/>
      </c>
      <c r="I225" s="52" t="str">
        <f>VLOOKUP($A225,'Institution Evaluation'!$A$56:$K$346,9,0)&amp;""</f>
        <v>Standard Importance</v>
      </c>
      <c r="J225" s="193" t="str">
        <f>VLOOKUP($A225,'Institution Evaluation'!$A$56:$K$346,10,0)&amp;""</f>
        <v/>
      </c>
      <c r="K225" s="55" t="str">
        <f>IF(VLOOKUP($A225,'Institution Evaluation'!$A$56:$K$346,10,0)=TRUE,"Yes","")</f>
        <v/>
      </c>
    </row>
    <row r="226" spans="1:11" ht="102">
      <c r="A226" s="25" t="s">
        <v>624</v>
      </c>
      <c r="B226" s="24" t="str">
        <f>VLOOKUP($A226,Questions!$A$2:$X$333,2,0)</f>
        <v>Have you taken actions to mitigate the identified risks?</v>
      </c>
      <c r="C226" s="52" t="str">
        <f>VLOOKUP($A226,'Institution Evaluation'!$A$56:$K$346,3,0)&amp;""</f>
        <v/>
      </c>
      <c r="D226" s="52" t="str">
        <f>VLOOKUP($A226,'Institution Evaluation'!$A$56:$K$346,4,0)&amp;""</f>
        <v/>
      </c>
      <c r="E226" s="350" t="str">
        <f>VLOOKUP($A226,'Institution Evaluation'!$A$56:$K$346,5,0)&amp;""</f>
        <v>Based on the response to REQU-05 on the "START HERE" tab, this question does not apply to this product or service.</v>
      </c>
      <c r="F226" s="195" t="str">
        <f>VLOOKUP($A226,'Institution Evaluation'!$A$56:$K$346,6,0)&amp;""</f>
        <v/>
      </c>
      <c r="G226" s="37" t="str">
        <f>VLOOKUP($A226,'Institution Evaluation'!$A$56:$K$346,7,0)&amp;""</f>
        <v>Yes</v>
      </c>
      <c r="H226" s="192" t="str">
        <f>VLOOKUP($A226,'Institution Evaluation'!$A$56:$K$346,8,0)&amp;""</f>
        <v/>
      </c>
      <c r="I226" s="52" t="str">
        <f>VLOOKUP($A226,'Institution Evaluation'!$A$56:$K$346,9,0)&amp;""</f>
        <v>Standard Importance</v>
      </c>
      <c r="J226" s="193" t="str">
        <f>VLOOKUP($A226,'Institution Evaluation'!$A$56:$K$346,10,0)&amp;""</f>
        <v/>
      </c>
      <c r="K226" s="55" t="str">
        <f>IF(VLOOKUP($A226,'Institution Evaluation'!$A$56:$K$346,10,0)=TRUE,"Yes","")</f>
        <v/>
      </c>
    </row>
    <row r="227" spans="1:11" ht="102">
      <c r="A227" s="25" t="s">
        <v>626</v>
      </c>
      <c r="B227" s="24" t="str">
        <f>VLOOKUP($A227,Questions!$A$2:$X$333,2,0)</f>
        <v>Does your application require user and system administrator password changes at a frequency no greater than 90 days?</v>
      </c>
      <c r="C227" s="52" t="str">
        <f>VLOOKUP($A227,'Institution Evaluation'!$A$56:$K$346,3,0)&amp;""</f>
        <v/>
      </c>
      <c r="D227" s="52" t="str">
        <f>VLOOKUP($A227,'Institution Evaluation'!$A$56:$K$346,4,0)&amp;""</f>
        <v/>
      </c>
      <c r="E227" s="350" t="str">
        <f>VLOOKUP($A227,'Institution Evaluation'!$A$56:$K$346,5,0)&amp;""</f>
        <v>Based on the response to REQU-05 on the "START HERE" tab, this question does not apply to this product or service.</v>
      </c>
      <c r="F227" s="195" t="str">
        <f>VLOOKUP($A227,'Institution Evaluation'!$A$56:$K$346,6,0)&amp;""</f>
        <v/>
      </c>
      <c r="G227" s="37" t="str">
        <f>VLOOKUP($A227,'Institution Evaluation'!$A$56:$K$346,7,0)&amp;""</f>
        <v>Yes</v>
      </c>
      <c r="H227" s="192" t="str">
        <f>VLOOKUP($A227,'Institution Evaluation'!$A$56:$K$346,8,0)&amp;""</f>
        <v/>
      </c>
      <c r="I227" s="52" t="str">
        <f>VLOOKUP($A227,'Institution Evaluation'!$A$56:$K$346,9,0)&amp;""</f>
        <v>Standard Importance</v>
      </c>
      <c r="J227" s="193" t="str">
        <f>VLOOKUP($A227,'Institution Evaluation'!$A$56:$K$346,10,0)&amp;""</f>
        <v/>
      </c>
      <c r="K227" s="55" t="str">
        <f>IF(VLOOKUP($A227,'Institution Evaluation'!$A$56:$K$346,10,0)=TRUE,"Yes","")</f>
        <v/>
      </c>
    </row>
    <row r="228" spans="1:11" ht="102">
      <c r="A228" s="25" t="s">
        <v>628</v>
      </c>
      <c r="B228" s="24" t="str">
        <f>VLOOKUP($A228,Questions!$A$2:$X$333,2,0)</f>
        <v>Does your application require users to set their own password after an administrator reset or on first use of the account?</v>
      </c>
      <c r="C228" s="52" t="str">
        <f>VLOOKUP($A228,'Institution Evaluation'!$A$56:$K$346,3,0)&amp;""</f>
        <v/>
      </c>
      <c r="D228" s="52" t="str">
        <f>VLOOKUP($A228,'Institution Evaluation'!$A$56:$K$346,4,0)&amp;""</f>
        <v/>
      </c>
      <c r="E228" s="350" t="str">
        <f>VLOOKUP($A228,'Institution Evaluation'!$A$56:$K$346,5,0)&amp;""</f>
        <v>Based on the response to REQU-05 on the "START HERE" tab, this question does not apply to this product or service.</v>
      </c>
      <c r="F228" s="195" t="str">
        <f>VLOOKUP($A228,'Institution Evaluation'!$A$56:$K$346,6,0)&amp;""</f>
        <v/>
      </c>
      <c r="G228" s="37" t="str">
        <f>VLOOKUP($A228,'Institution Evaluation'!$A$56:$K$346,7,0)&amp;""</f>
        <v>Yes</v>
      </c>
      <c r="H228" s="192" t="str">
        <f>VLOOKUP($A228,'Institution Evaluation'!$A$56:$K$346,8,0)&amp;""</f>
        <v/>
      </c>
      <c r="I228" s="52" t="str">
        <f>VLOOKUP($A228,'Institution Evaluation'!$A$56:$K$346,9,0)&amp;""</f>
        <v>Standard Importance</v>
      </c>
      <c r="J228" s="193" t="str">
        <f>VLOOKUP($A228,'Institution Evaluation'!$A$56:$K$346,10,0)&amp;""</f>
        <v/>
      </c>
      <c r="K228" s="55" t="str">
        <f>IF(VLOOKUP($A228,'Institution Evaluation'!$A$56:$K$346,10,0)=TRUE,"Yes","")</f>
        <v/>
      </c>
    </row>
    <row r="229" spans="1:11" ht="102">
      <c r="A229" s="25" t="s">
        <v>630</v>
      </c>
      <c r="B229" s="24" t="str">
        <f>VLOOKUP($A229,Questions!$A$2:$X$333,2,0)</f>
        <v>Does your application lock out an account after a number of failed login attempts?</v>
      </c>
      <c r="C229" s="52" t="str">
        <f>VLOOKUP($A229,'Institution Evaluation'!$A$56:$K$346,3,0)&amp;""</f>
        <v/>
      </c>
      <c r="D229" s="52" t="str">
        <f>VLOOKUP($A229,'Institution Evaluation'!$A$56:$K$346,4,0)&amp;""</f>
        <v/>
      </c>
      <c r="E229" s="350" t="str">
        <f>VLOOKUP($A229,'Institution Evaluation'!$A$56:$K$346,5,0)&amp;""</f>
        <v>Based on the response to REQU-05 on the "START HERE" tab, this question does not apply to this product or service.</v>
      </c>
      <c r="F229" s="195" t="str">
        <f>VLOOKUP($A229,'Institution Evaluation'!$A$56:$K$346,6,0)&amp;""</f>
        <v/>
      </c>
      <c r="G229" s="37" t="str">
        <f>VLOOKUP($A229,'Institution Evaluation'!$A$56:$K$346,7,0)&amp;""</f>
        <v>Yes</v>
      </c>
      <c r="H229" s="192" t="str">
        <f>VLOOKUP($A229,'Institution Evaluation'!$A$56:$K$346,8,0)&amp;""</f>
        <v/>
      </c>
      <c r="I229" s="52" t="str">
        <f>VLOOKUP($A229,'Institution Evaluation'!$A$56:$K$346,9,0)&amp;""</f>
        <v>Standard Importance</v>
      </c>
      <c r="J229" s="193" t="str">
        <f>VLOOKUP($A229,'Institution Evaluation'!$A$56:$K$346,10,0)&amp;""</f>
        <v/>
      </c>
      <c r="K229" s="55" t="str">
        <f>IF(VLOOKUP($A229,'Institution Evaluation'!$A$56:$K$346,10,0)=TRUE,"Yes","")</f>
        <v/>
      </c>
    </row>
    <row r="230" spans="1:11" ht="102">
      <c r="A230" s="25" t="s">
        <v>632</v>
      </c>
      <c r="B230" s="24" t="str">
        <f>VLOOKUP($A230,Questions!$A$2:$X$333,2,0)</f>
        <v>Does your application automatically lock or log-out an account after a period of inactivity?</v>
      </c>
      <c r="C230" s="52" t="str">
        <f>VLOOKUP($A230,'Institution Evaluation'!$A$56:$K$346,3,0)&amp;""</f>
        <v/>
      </c>
      <c r="D230" s="52" t="str">
        <f>VLOOKUP($A230,'Institution Evaluation'!$A$56:$K$346,4,0)&amp;""</f>
        <v/>
      </c>
      <c r="E230" s="350" t="str">
        <f>VLOOKUP($A230,'Institution Evaluation'!$A$56:$K$346,5,0)&amp;""</f>
        <v>Based on the response to REQU-05 on the "START HERE" tab, this question does not apply to this product or service.</v>
      </c>
      <c r="F230" s="195" t="str">
        <f>VLOOKUP($A230,'Institution Evaluation'!$A$56:$K$346,6,0)&amp;""</f>
        <v/>
      </c>
      <c r="G230" s="37" t="str">
        <f>VLOOKUP($A230,'Institution Evaluation'!$A$56:$K$346,7,0)&amp;""</f>
        <v>Yes</v>
      </c>
      <c r="H230" s="192" t="str">
        <f>VLOOKUP($A230,'Institution Evaluation'!$A$56:$K$346,8,0)&amp;""</f>
        <v/>
      </c>
      <c r="I230" s="52" t="str">
        <f>VLOOKUP($A230,'Institution Evaluation'!$A$56:$K$346,9,0)&amp;""</f>
        <v>Standard Importance</v>
      </c>
      <c r="J230" s="193" t="str">
        <f>VLOOKUP($A230,'Institution Evaluation'!$A$56:$K$346,10,0)&amp;""</f>
        <v/>
      </c>
      <c r="K230" s="55" t="str">
        <f>IF(VLOOKUP($A230,'Institution Evaluation'!$A$56:$K$346,10,0)=TRUE,"Yes","")</f>
        <v/>
      </c>
    </row>
    <row r="231" spans="1:11" ht="102">
      <c r="A231" s="25" t="s">
        <v>634</v>
      </c>
      <c r="B231" s="24" t="str">
        <f>VLOOKUP($A231,Questions!$A$2:$X$333,2,0)</f>
        <v>Are passwords visible in plain text, whether when stored or entered, including service level accounts (i.e., database accounts, etc.)?</v>
      </c>
      <c r="C231" s="52" t="str">
        <f>VLOOKUP($A231,'Institution Evaluation'!$A$56:$K$346,3,0)&amp;""</f>
        <v/>
      </c>
      <c r="D231" s="52" t="str">
        <f>VLOOKUP($A231,'Institution Evaluation'!$A$56:$K$346,4,0)&amp;""</f>
        <v/>
      </c>
      <c r="E231" s="350" t="str">
        <f>VLOOKUP($A231,'Institution Evaluation'!$A$56:$K$346,5,0)&amp;""</f>
        <v>Based on the response to REQU-05 on the "START HERE" tab, this question does not apply to this product or service.</v>
      </c>
      <c r="F231" s="195" t="str">
        <f>VLOOKUP($A231,'Institution Evaluation'!$A$56:$K$346,6,0)&amp;""</f>
        <v/>
      </c>
      <c r="G231" s="37" t="str">
        <f>VLOOKUP($A231,'Institution Evaluation'!$A$56:$K$346,7,0)&amp;""</f>
        <v>No</v>
      </c>
      <c r="H231" s="192" t="str">
        <f>VLOOKUP($A231,'Institution Evaluation'!$A$56:$K$346,8,0)&amp;""</f>
        <v/>
      </c>
      <c r="I231" s="52" t="str">
        <f>VLOOKUP($A231,'Institution Evaluation'!$A$56:$K$346,9,0)&amp;""</f>
        <v>Standard Importance</v>
      </c>
      <c r="J231" s="193" t="str">
        <f>VLOOKUP($A231,'Institution Evaluation'!$A$56:$K$346,10,0)&amp;""</f>
        <v/>
      </c>
      <c r="K231" s="55" t="str">
        <f>IF(VLOOKUP($A231,'Institution Evaluation'!$A$56:$K$346,10,0)=TRUE,"Yes","")</f>
        <v/>
      </c>
    </row>
    <row r="232" spans="1:11" ht="102">
      <c r="A232" s="25" t="s">
        <v>636</v>
      </c>
      <c r="B232" s="24" t="str">
        <f>VLOOKUP($A232,Questions!$A$2:$X$333,2,0)</f>
        <v>If the application is institution-hosted, can all service level and administrative account passwords be changed by the institution?</v>
      </c>
      <c r="C232" s="52" t="str">
        <f>VLOOKUP($A232,'Institution Evaluation'!$A$56:$K$346,3,0)&amp;""</f>
        <v/>
      </c>
      <c r="D232" s="52" t="str">
        <f>VLOOKUP($A232,'Institution Evaluation'!$A$56:$K$346,4,0)&amp;""</f>
        <v/>
      </c>
      <c r="E232" s="350" t="str">
        <f>VLOOKUP($A232,'Institution Evaluation'!$A$56:$K$346,5,0)&amp;""</f>
        <v>Based on the response to REQU-05 on the "START HERE" tab, this question does not apply to this product or service.</v>
      </c>
      <c r="F232" s="195" t="str">
        <f>VLOOKUP($A232,'Institution Evaluation'!$A$56:$K$346,6,0)&amp;""</f>
        <v/>
      </c>
      <c r="G232" s="37" t="str">
        <f>VLOOKUP($A232,'Institution Evaluation'!$A$56:$K$346,7,0)&amp;""</f>
        <v>Yes</v>
      </c>
      <c r="H232" s="192" t="str">
        <f>VLOOKUP($A232,'Institution Evaluation'!$A$56:$K$346,8,0)&amp;""</f>
        <v/>
      </c>
      <c r="I232" s="52" t="str">
        <f>VLOOKUP($A232,'Institution Evaluation'!$A$56:$K$346,9,0)&amp;""</f>
        <v>Standard Importance</v>
      </c>
      <c r="J232" s="193" t="str">
        <f>VLOOKUP($A232,'Institution Evaluation'!$A$56:$K$346,10,0)&amp;""</f>
        <v/>
      </c>
      <c r="K232" s="55" t="str">
        <f>IF(VLOOKUP($A232,'Institution Evaluation'!$A$56:$K$346,10,0)=TRUE,"Yes","")</f>
        <v/>
      </c>
    </row>
    <row r="233" spans="1:11" ht="102">
      <c r="A233" s="25" t="s">
        <v>638</v>
      </c>
      <c r="B233" s="24" t="str">
        <f>VLOOKUP($A233,Questions!$A$2:$X$333,2,0)</f>
        <v>Does your application provide the ability to define user access levels?</v>
      </c>
      <c r="C233" s="52" t="str">
        <f>VLOOKUP($A233,'Institution Evaluation'!$A$56:$K$346,3,0)&amp;""</f>
        <v/>
      </c>
      <c r="D233" s="52" t="str">
        <f>VLOOKUP($A233,'Institution Evaluation'!$A$56:$K$346,4,0)&amp;""</f>
        <v/>
      </c>
      <c r="E233" s="350" t="str">
        <f>VLOOKUP($A233,'Institution Evaluation'!$A$56:$K$346,5,0)&amp;""</f>
        <v>Based on the response to REQU-05 on the "START HERE" tab, this question does not apply to this product or service.</v>
      </c>
      <c r="F233" s="195" t="str">
        <f>VLOOKUP($A233,'Institution Evaluation'!$A$56:$K$346,6,0)&amp;""</f>
        <v/>
      </c>
      <c r="G233" s="37" t="str">
        <f>VLOOKUP($A233,'Institution Evaluation'!$A$56:$K$346,7,0)&amp;""</f>
        <v>Yes</v>
      </c>
      <c r="H233" s="192" t="str">
        <f>VLOOKUP($A233,'Institution Evaluation'!$A$56:$K$346,8,0)&amp;""</f>
        <v/>
      </c>
      <c r="I233" s="52" t="str">
        <f>VLOOKUP($A233,'Institution Evaluation'!$A$56:$K$346,9,0)&amp;""</f>
        <v>Standard Importance</v>
      </c>
      <c r="J233" s="193" t="str">
        <f>VLOOKUP($A233,'Institution Evaluation'!$A$56:$K$346,10,0)&amp;""</f>
        <v/>
      </c>
      <c r="K233" s="55" t="str">
        <f>IF(VLOOKUP($A233,'Institution Evaluation'!$A$56:$K$346,10,0)=TRUE,"Yes","")</f>
        <v/>
      </c>
    </row>
    <row r="234" spans="1:11" ht="102">
      <c r="A234" s="25" t="s">
        <v>640</v>
      </c>
      <c r="B234" s="24" t="str">
        <f>VLOOKUP($A234,Questions!$A$2:$X$333,2,0)</f>
        <v>Does your application support varying levels of access to administrative tasks defined individually per user?</v>
      </c>
      <c r="C234" s="52" t="str">
        <f>VLOOKUP($A234,'Institution Evaluation'!$A$56:$K$346,3,0)&amp;""</f>
        <v/>
      </c>
      <c r="D234" s="52" t="str">
        <f>VLOOKUP($A234,'Institution Evaluation'!$A$56:$K$346,4,0)&amp;""</f>
        <v/>
      </c>
      <c r="E234" s="350" t="str">
        <f>VLOOKUP($A234,'Institution Evaluation'!$A$56:$K$346,5,0)&amp;""</f>
        <v>Based on the response to REQU-05 on the "START HERE" tab, this question does not apply to this product or service.</v>
      </c>
      <c r="F234" s="195" t="str">
        <f>VLOOKUP($A234,'Institution Evaluation'!$A$56:$K$346,6,0)&amp;""</f>
        <v/>
      </c>
      <c r="G234" s="37" t="str">
        <f>VLOOKUP($A234,'Institution Evaluation'!$A$56:$K$346,7,0)&amp;""</f>
        <v>Yes</v>
      </c>
      <c r="H234" s="192" t="str">
        <f>VLOOKUP($A234,'Institution Evaluation'!$A$56:$K$346,8,0)&amp;""</f>
        <v/>
      </c>
      <c r="I234" s="52" t="str">
        <f>VLOOKUP($A234,'Institution Evaluation'!$A$56:$K$346,9,0)&amp;""</f>
        <v>Standard Importance</v>
      </c>
      <c r="J234" s="193" t="str">
        <f>VLOOKUP($A234,'Institution Evaluation'!$A$56:$K$346,10,0)&amp;""</f>
        <v/>
      </c>
      <c r="K234" s="55" t="str">
        <f>IF(VLOOKUP($A234,'Institution Evaluation'!$A$56:$K$346,10,0)=TRUE,"Yes","")</f>
        <v/>
      </c>
    </row>
    <row r="235" spans="1:11" ht="102">
      <c r="A235" s="25" t="s">
        <v>642</v>
      </c>
      <c r="B235" s="24" t="str">
        <f>VLOOKUP($A235,Questions!$A$2:$X$333,2,0)</f>
        <v>Does your application support varying levels of access to records based on user ID?</v>
      </c>
      <c r="C235" s="52" t="str">
        <f>VLOOKUP($A235,'Institution Evaluation'!$A$56:$K$346,3,0)&amp;""</f>
        <v/>
      </c>
      <c r="D235" s="52" t="str">
        <f>VLOOKUP($A235,'Institution Evaluation'!$A$56:$K$346,4,0)&amp;""</f>
        <v/>
      </c>
      <c r="E235" s="350" t="str">
        <f>VLOOKUP($A235,'Institution Evaluation'!$A$56:$K$346,5,0)&amp;""</f>
        <v>Based on the response to REQU-05 on the "START HERE" tab, this question does not apply to this product or service.</v>
      </c>
      <c r="F235" s="195" t="str">
        <f>VLOOKUP($A235,'Institution Evaluation'!$A$56:$K$346,6,0)&amp;""</f>
        <v/>
      </c>
      <c r="G235" s="37" t="str">
        <f>VLOOKUP($A235,'Institution Evaluation'!$A$56:$K$346,7,0)&amp;""</f>
        <v>No</v>
      </c>
      <c r="H235" s="192" t="str">
        <f>VLOOKUP($A235,'Institution Evaluation'!$A$56:$K$346,8,0)&amp;""</f>
        <v/>
      </c>
      <c r="I235" s="52" t="str">
        <f>VLOOKUP($A235,'Institution Evaluation'!$A$56:$K$346,9,0)&amp;""</f>
        <v>Standard Importance</v>
      </c>
      <c r="J235" s="193" t="str">
        <f>VLOOKUP($A235,'Institution Evaluation'!$A$56:$K$346,10,0)&amp;""</f>
        <v/>
      </c>
      <c r="K235" s="55" t="str">
        <f>IF(VLOOKUP($A235,'Institution Evaluation'!$A$56:$K$346,10,0)=TRUE,"Yes","")</f>
        <v/>
      </c>
    </row>
    <row r="236" spans="1:11" ht="102">
      <c r="A236" s="25" t="s">
        <v>643</v>
      </c>
      <c r="B236" s="24" t="str">
        <f>VLOOKUP($A236,Questions!$A$2:$X$333,2,0)</f>
        <v>Is there a limit to the number of groups to which a user can be assigned?</v>
      </c>
      <c r="C236" s="52" t="str">
        <f>VLOOKUP($A236,'Institution Evaluation'!$A$56:$K$346,3,0)&amp;""</f>
        <v/>
      </c>
      <c r="D236" s="52" t="str">
        <f>VLOOKUP($A236,'Institution Evaluation'!$A$56:$K$346,4,0)&amp;""</f>
        <v/>
      </c>
      <c r="E236" s="350" t="str">
        <f>VLOOKUP($A236,'Institution Evaluation'!$A$56:$K$346,5,0)&amp;""</f>
        <v>Based on the response to REQU-05 on the "START HERE" tab, this question does not apply to this product or service.</v>
      </c>
      <c r="F236" s="195" t="str">
        <f>VLOOKUP($A236,'Institution Evaluation'!$A$56:$K$346,6,0)&amp;""</f>
        <v/>
      </c>
      <c r="G236" s="37" t="str">
        <f>VLOOKUP($A236,'Institution Evaluation'!$A$56:$K$346,7,0)&amp;""</f>
        <v>Yes</v>
      </c>
      <c r="H236" s="192" t="str">
        <f>VLOOKUP($A236,'Institution Evaluation'!$A$56:$K$346,8,0)&amp;""</f>
        <v/>
      </c>
      <c r="I236" s="52" t="str">
        <f>VLOOKUP($A236,'Institution Evaluation'!$A$56:$K$346,9,0)&amp;""</f>
        <v>Standard Importance</v>
      </c>
      <c r="J236" s="193" t="str">
        <f>VLOOKUP($A236,'Institution Evaluation'!$A$56:$K$346,10,0)&amp;""</f>
        <v/>
      </c>
      <c r="K236" s="55" t="str">
        <f>IF(VLOOKUP($A236,'Institution Evaluation'!$A$56:$K$346,10,0)=TRUE,"Yes","")</f>
        <v/>
      </c>
    </row>
    <row r="237" spans="1:11" ht="102">
      <c r="A237" s="25" t="s">
        <v>645</v>
      </c>
      <c r="B237" s="24" t="str">
        <f>VLOOKUP($A237,Questions!$A$2:$X$333,2,0)</f>
        <v>Do accounts used for solution provider-supplied remote support abide by the same authentication policies and access logging as the rest of the system?</v>
      </c>
      <c r="C237" s="52" t="str">
        <f>VLOOKUP($A237,'Institution Evaluation'!$A$56:$K$346,3,0)&amp;""</f>
        <v/>
      </c>
      <c r="D237" s="52" t="str">
        <f>VLOOKUP($A237,'Institution Evaluation'!$A$56:$K$346,4,0)&amp;""</f>
        <v/>
      </c>
      <c r="E237" s="350" t="str">
        <f>VLOOKUP($A237,'Institution Evaluation'!$A$56:$K$346,5,0)&amp;""</f>
        <v>Based on the response to REQU-05 on the "START HERE" tab, this question does not apply to this product or service.</v>
      </c>
      <c r="F237" s="195" t="str">
        <f>VLOOKUP($A237,'Institution Evaluation'!$A$56:$K$346,6,0)&amp;""</f>
        <v/>
      </c>
      <c r="G237" s="37" t="str">
        <f>VLOOKUP($A237,'Institution Evaluation'!$A$56:$K$346,7,0)&amp;""</f>
        <v>Yes</v>
      </c>
      <c r="H237" s="192" t="str">
        <f>VLOOKUP($A237,'Institution Evaluation'!$A$56:$K$346,8,0)&amp;""</f>
        <v/>
      </c>
      <c r="I237" s="52" t="str">
        <f>VLOOKUP($A237,'Institution Evaluation'!$A$56:$K$346,9,0)&amp;""</f>
        <v>Standard Importance</v>
      </c>
      <c r="J237" s="193" t="str">
        <f>VLOOKUP($A237,'Institution Evaluation'!$A$56:$K$346,10,0)&amp;""</f>
        <v/>
      </c>
      <c r="K237" s="55" t="str">
        <f>IF(VLOOKUP($A237,'Institution Evaluation'!$A$56:$K$346,10,0)=TRUE,"Yes","")</f>
        <v/>
      </c>
    </row>
    <row r="238" spans="1:11" ht="102">
      <c r="A238" s="25" t="s">
        <v>646</v>
      </c>
      <c r="B238" s="24" t="str">
        <f>VLOOKUP($A238,Questions!$A$2:$X$333,2,0)</f>
        <v>Does the application log record access including specific user, date/time of access, and originating IP or device?</v>
      </c>
      <c r="C238" s="52" t="str">
        <f>VLOOKUP($A238,'Institution Evaluation'!$A$56:$K$346,3,0)&amp;""</f>
        <v/>
      </c>
      <c r="D238" s="52" t="str">
        <f>VLOOKUP($A238,'Institution Evaluation'!$A$56:$K$346,4,0)&amp;""</f>
        <v/>
      </c>
      <c r="E238" s="350" t="str">
        <f>VLOOKUP($A238,'Institution Evaluation'!$A$56:$K$346,5,0)&amp;""</f>
        <v>Based on the response to REQU-05 on the "START HERE" tab, this question does not apply to this product or service.</v>
      </c>
      <c r="F238" s="195" t="str">
        <f>VLOOKUP($A238,'Institution Evaluation'!$A$56:$K$346,6,0)&amp;""</f>
        <v/>
      </c>
      <c r="G238" s="37" t="str">
        <f>VLOOKUP($A238,'Institution Evaluation'!$A$56:$K$346,7,0)&amp;""</f>
        <v>Yes</v>
      </c>
      <c r="H238" s="192" t="str">
        <f>VLOOKUP($A238,'Institution Evaluation'!$A$56:$K$346,8,0)&amp;""</f>
        <v/>
      </c>
      <c r="I238" s="52" t="str">
        <f>VLOOKUP($A238,'Institution Evaluation'!$A$56:$K$346,9,0)&amp;""</f>
        <v>Standard Importance</v>
      </c>
      <c r="J238" s="193" t="str">
        <f>VLOOKUP($A238,'Institution Evaluation'!$A$56:$K$346,10,0)&amp;""</f>
        <v/>
      </c>
      <c r="K238" s="55" t="str">
        <f>IF(VLOOKUP($A238,'Institution Evaluation'!$A$56:$K$346,10,0)=TRUE,"Yes","")</f>
        <v/>
      </c>
    </row>
    <row r="239" spans="1:11" ht="102">
      <c r="A239" s="25" t="s">
        <v>647</v>
      </c>
      <c r="B239" s="24" t="str">
        <f>VLOOKUP($A239,Questions!$A$2:$X$333,2,0)</f>
        <v>Does the application log administrative activity, such as user account access changes and password changes, including specific user, date/time of changes, and originating IP or device?</v>
      </c>
      <c r="C239" s="52" t="str">
        <f>VLOOKUP($A239,'Institution Evaluation'!$A$56:$K$346,3,0)&amp;""</f>
        <v/>
      </c>
      <c r="D239" s="52" t="str">
        <f>VLOOKUP($A239,'Institution Evaluation'!$A$56:$K$346,4,0)&amp;""</f>
        <v/>
      </c>
      <c r="E239" s="350" t="str">
        <f>VLOOKUP($A239,'Institution Evaluation'!$A$56:$K$346,5,0)&amp;""</f>
        <v>Based on the response to REQU-05 on the "START HERE" tab, this question does not apply to this product or service.</v>
      </c>
      <c r="F239" s="195" t="str">
        <f>VLOOKUP($A239,'Institution Evaluation'!$A$56:$K$346,6,0)&amp;""</f>
        <v/>
      </c>
      <c r="G239" s="37" t="str">
        <f>VLOOKUP($A239,'Institution Evaluation'!$A$56:$K$346,7,0)&amp;""</f>
        <v>Yes</v>
      </c>
      <c r="H239" s="192" t="str">
        <f>VLOOKUP($A239,'Institution Evaluation'!$A$56:$K$346,8,0)&amp;""</f>
        <v/>
      </c>
      <c r="I239" s="52" t="str">
        <f>VLOOKUP($A239,'Institution Evaluation'!$A$56:$K$346,9,0)&amp;""</f>
        <v>Standard Importance</v>
      </c>
      <c r="J239" s="193" t="str">
        <f>VLOOKUP($A239,'Institution Evaluation'!$A$56:$K$346,10,0)&amp;""</f>
        <v/>
      </c>
      <c r="K239" s="55" t="str">
        <f>IF(VLOOKUP($A239,'Institution Evaluation'!$A$56:$K$346,10,0)=TRUE,"Yes","")</f>
        <v/>
      </c>
    </row>
    <row r="240" spans="1:11" ht="102">
      <c r="A240" s="25" t="s">
        <v>649</v>
      </c>
      <c r="B240" s="24" t="str">
        <f>VLOOKUP($A240,Questions!$A$2:$X$333,2,0)</f>
        <v>Do you retain logs for at least as long as required by HIPAA regulations?</v>
      </c>
      <c r="C240" s="52" t="str">
        <f>VLOOKUP($A240,'Institution Evaluation'!$A$56:$K$346,3,0)&amp;""</f>
        <v/>
      </c>
      <c r="D240" s="52" t="str">
        <f>VLOOKUP($A240,'Institution Evaluation'!$A$56:$K$346,4,0)&amp;""</f>
        <v/>
      </c>
      <c r="E240" s="350" t="str">
        <f>VLOOKUP($A240,'Institution Evaluation'!$A$56:$K$346,5,0)&amp;""</f>
        <v>Based on the response to REQU-05 on the "START HERE" tab, this question does not apply to this product or service.</v>
      </c>
      <c r="F240" s="195" t="str">
        <f>VLOOKUP($A240,'Institution Evaluation'!$A$56:$K$346,6,0)&amp;""</f>
        <v/>
      </c>
      <c r="G240" s="37" t="str">
        <f>VLOOKUP($A240,'Institution Evaluation'!$A$56:$K$346,7,0)&amp;""</f>
        <v>Yes</v>
      </c>
      <c r="H240" s="192" t="str">
        <f>VLOOKUP($A240,'Institution Evaluation'!$A$56:$K$346,8,0)&amp;""</f>
        <v/>
      </c>
      <c r="I240" s="52" t="str">
        <f>VLOOKUP($A240,'Institution Evaluation'!$A$56:$K$346,9,0)&amp;""</f>
        <v>Standard Importance</v>
      </c>
      <c r="J240" s="193" t="str">
        <f>VLOOKUP($A240,'Institution Evaluation'!$A$56:$K$346,10,0)&amp;""</f>
        <v/>
      </c>
      <c r="K240" s="55" t="str">
        <f>IF(VLOOKUP($A240,'Institution Evaluation'!$A$56:$K$346,10,0)=TRUE,"Yes","")</f>
        <v/>
      </c>
    </row>
    <row r="241" spans="1:14" ht="102">
      <c r="A241" s="25" t="s">
        <v>651</v>
      </c>
      <c r="B241" s="24" t="str">
        <f>VLOOKUP($A241,Questions!$A$2:$X$333,2,0)</f>
        <v>Can the application logs be archived?</v>
      </c>
      <c r="C241" s="52" t="str">
        <f>VLOOKUP($A241,'Institution Evaluation'!$A$56:$K$346,3,0)&amp;""</f>
        <v/>
      </c>
      <c r="D241" s="52" t="str">
        <f>VLOOKUP($A241,'Institution Evaluation'!$A$56:$K$346,4,0)&amp;""</f>
        <v/>
      </c>
      <c r="E241" s="350" t="str">
        <f>VLOOKUP($A241,'Institution Evaluation'!$A$56:$K$346,5,0)&amp;""</f>
        <v>Based on the response to REQU-05 on the "START HERE" tab, this question does not apply to this product or service.</v>
      </c>
      <c r="F241" s="195" t="str">
        <f>VLOOKUP($A241,'Institution Evaluation'!$A$56:$K$346,6,0)&amp;""</f>
        <v/>
      </c>
      <c r="G241" s="37" t="str">
        <f>VLOOKUP($A241,'Institution Evaluation'!$A$56:$K$346,7,0)&amp;""</f>
        <v>Yes</v>
      </c>
      <c r="H241" s="192" t="str">
        <f>VLOOKUP($A241,'Institution Evaluation'!$A$56:$K$346,8,0)&amp;""</f>
        <v/>
      </c>
      <c r="I241" s="52" t="str">
        <f>VLOOKUP($A241,'Institution Evaluation'!$A$56:$K$346,9,0)&amp;""</f>
        <v>Standard Importance</v>
      </c>
      <c r="J241" s="193" t="str">
        <f>VLOOKUP($A241,'Institution Evaluation'!$A$56:$K$346,10,0)&amp;""</f>
        <v/>
      </c>
      <c r="K241" s="55" t="str">
        <f>IF(VLOOKUP($A241,'Institution Evaluation'!$A$56:$K$346,10,0)=TRUE,"Yes","")</f>
        <v/>
      </c>
    </row>
    <row r="242" spans="1:14" ht="102">
      <c r="A242" s="25" t="s">
        <v>653</v>
      </c>
      <c r="B242" s="24" t="str">
        <f>VLOOKUP($A242,Questions!$A$2:$X$333,2,0)</f>
        <v>Can the application logs be saved externally?</v>
      </c>
      <c r="C242" s="52" t="str">
        <f>VLOOKUP($A242,'Institution Evaluation'!$A$56:$K$346,3,0)&amp;""</f>
        <v/>
      </c>
      <c r="D242" s="52" t="str">
        <f>VLOOKUP($A242,'Institution Evaluation'!$A$56:$K$346,4,0)&amp;""</f>
        <v/>
      </c>
      <c r="E242" s="350" t="str">
        <f>VLOOKUP($A242,'Institution Evaluation'!$A$56:$K$346,5,0)&amp;""</f>
        <v>Based on the response to REQU-05 on the "START HERE" tab, this question does not apply to this product or service.</v>
      </c>
      <c r="F242" s="195" t="str">
        <f>VLOOKUP($A242,'Institution Evaluation'!$A$56:$K$346,6,0)&amp;""</f>
        <v/>
      </c>
      <c r="G242" s="37" t="str">
        <f>VLOOKUP($A242,'Institution Evaluation'!$A$56:$K$346,7,0)&amp;""</f>
        <v>Yes</v>
      </c>
      <c r="H242" s="192" t="str">
        <f>VLOOKUP($A242,'Institution Evaluation'!$A$56:$K$346,8,0)&amp;""</f>
        <v/>
      </c>
      <c r="I242" s="52" t="str">
        <f>VLOOKUP($A242,'Institution Evaluation'!$A$56:$K$346,9,0)&amp;""</f>
        <v>Standard Importance</v>
      </c>
      <c r="J242" s="193" t="str">
        <f>VLOOKUP($A242,'Institution Evaluation'!$A$56:$K$346,10,0)&amp;""</f>
        <v/>
      </c>
      <c r="K242" s="55" t="str">
        <f>IF(VLOOKUP($A242,'Institution Evaluation'!$A$56:$K$346,10,0)=TRUE,"Yes","")</f>
        <v/>
      </c>
    </row>
    <row r="243" spans="1:14" ht="102">
      <c r="A243" s="25" t="s">
        <v>655</v>
      </c>
      <c r="B243" s="24" t="str">
        <f>VLOOKUP($A243,Questions!$A$2:$X$333,2,0)</f>
        <v>Do you have a disaster recovery plan and emergency mode operation plan?</v>
      </c>
      <c r="C243" s="52" t="str">
        <f>VLOOKUP($A243,'Institution Evaluation'!$A$56:$K$346,3,0)&amp;""</f>
        <v/>
      </c>
      <c r="D243" s="52" t="str">
        <f>VLOOKUP($A243,'Institution Evaluation'!$A$56:$K$346,4,0)&amp;""</f>
        <v/>
      </c>
      <c r="E243" s="350" t="str">
        <f>VLOOKUP($A243,'Institution Evaluation'!$A$56:$K$346,5,0)&amp;""</f>
        <v>Based on the response to REQU-05 on the "START HERE" tab, this question does not apply to this product or service.</v>
      </c>
      <c r="F243" s="195" t="str">
        <f>VLOOKUP($A243,'Institution Evaluation'!$A$56:$K$346,6,0)&amp;""</f>
        <v/>
      </c>
      <c r="G243" s="37" t="str">
        <f>VLOOKUP($A243,'Institution Evaluation'!$A$56:$K$346,7,0)&amp;""</f>
        <v>Yes</v>
      </c>
      <c r="H243" s="192" t="str">
        <f>VLOOKUP($A243,'Institution Evaluation'!$A$56:$K$346,8,0)&amp;""</f>
        <v/>
      </c>
      <c r="I243" s="52" t="str">
        <f>VLOOKUP($A243,'Institution Evaluation'!$A$56:$K$346,9,0)&amp;""</f>
        <v>Standard Importance</v>
      </c>
      <c r="J243" s="193" t="str">
        <f>VLOOKUP($A243,'Institution Evaluation'!$A$56:$K$346,10,0)&amp;""</f>
        <v/>
      </c>
      <c r="K243" s="55" t="str">
        <f>IF(VLOOKUP($A243,'Institution Evaluation'!$A$56:$K$346,10,0)=TRUE,"Yes","")</f>
        <v/>
      </c>
    </row>
    <row r="244" spans="1:14" ht="102">
      <c r="A244" s="25" t="s">
        <v>656</v>
      </c>
      <c r="B244" s="24" t="str">
        <f>VLOOKUP($A244,Questions!$A$2:$X$333,2,0)</f>
        <v>Can you provide a HIPAA compliance attestation document?</v>
      </c>
      <c r="C244" s="52" t="str">
        <f>VLOOKUP($A244,'Institution Evaluation'!$A$56:$K$346,3,0)&amp;""</f>
        <v/>
      </c>
      <c r="D244" s="52" t="str">
        <f>VLOOKUP($A244,'Institution Evaluation'!$A$56:$K$346,4,0)&amp;""</f>
        <v/>
      </c>
      <c r="E244" s="350" t="str">
        <f>VLOOKUP($A244,'Institution Evaluation'!$A$56:$K$346,5,0)&amp;""</f>
        <v>Based on the response to REQU-05 on the "START HERE" tab, this question does not apply to this product or service.</v>
      </c>
      <c r="F244" s="195" t="str">
        <f>VLOOKUP($A244,'Institution Evaluation'!$A$56:$K$346,6,0)&amp;""</f>
        <v/>
      </c>
      <c r="G244" s="37" t="str">
        <f>VLOOKUP($A244,'Institution Evaluation'!$A$56:$K$346,7,0)&amp;""</f>
        <v>Yes</v>
      </c>
      <c r="H244" s="192" t="str">
        <f>VLOOKUP($A244,'Institution Evaluation'!$A$56:$K$346,8,0)&amp;""</f>
        <v/>
      </c>
      <c r="I244" s="52" t="str">
        <f>VLOOKUP($A244,'Institution Evaluation'!$A$56:$K$346,9,0)&amp;""</f>
        <v>Standard Importance</v>
      </c>
      <c r="J244" s="193" t="str">
        <f>VLOOKUP($A244,'Institution Evaluation'!$A$56:$K$346,10,0)&amp;""</f>
        <v/>
      </c>
      <c r="K244" s="55" t="str">
        <f>IF(VLOOKUP($A244,'Institution Evaluation'!$A$56:$K$346,10,0)=TRUE,"Yes","")</f>
        <v/>
      </c>
    </row>
    <row r="245" spans="1:14" ht="102">
      <c r="A245" s="25" t="s">
        <v>658</v>
      </c>
      <c r="B245" s="24" t="str">
        <f>VLOOKUP($A245,Questions!$A$2:$X$333,2,0)</f>
        <v>Are you willing to enter into a Business Associate Agreement (BAA)?</v>
      </c>
      <c r="C245" s="52" t="str">
        <f>VLOOKUP($A245,'Institution Evaluation'!$A$56:$K$346,3,0)&amp;""</f>
        <v/>
      </c>
      <c r="D245" s="52" t="str">
        <f>VLOOKUP($A245,'Institution Evaluation'!$A$56:$K$346,4,0)&amp;""</f>
        <v/>
      </c>
      <c r="E245" s="350" t="str">
        <f>VLOOKUP($A245,'Institution Evaluation'!$A$56:$K$346,5,0)&amp;""</f>
        <v>Based on the response to REQU-05 on the "START HERE" tab, this question does not apply to this product or service.</v>
      </c>
      <c r="F245" s="195" t="str">
        <f>VLOOKUP($A245,'Institution Evaluation'!$A$56:$K$346,6,0)&amp;""</f>
        <v/>
      </c>
      <c r="G245" s="37" t="str">
        <f>VLOOKUP($A245,'Institution Evaluation'!$A$56:$K$346,7,0)&amp;""</f>
        <v>Yes</v>
      </c>
      <c r="H245" s="192" t="str">
        <f>VLOOKUP($A245,'Institution Evaluation'!$A$56:$K$346,8,0)&amp;""</f>
        <v/>
      </c>
      <c r="I245" s="52" t="str">
        <f>VLOOKUP($A245,'Institution Evaluation'!$A$56:$K$346,9,0)&amp;""</f>
        <v>Standard Importance</v>
      </c>
      <c r="J245" s="193" t="str">
        <f>VLOOKUP($A245,'Institution Evaluation'!$A$56:$K$346,10,0)&amp;""</f>
        <v/>
      </c>
      <c r="K245" s="55" t="str">
        <f>IF(VLOOKUP($A245,'Institution Evaluation'!$A$56:$K$346,10,0)=TRUE,"Yes","")</f>
        <v/>
      </c>
    </row>
    <row r="246" spans="1:14" ht="102">
      <c r="A246" s="25" t="s">
        <v>660</v>
      </c>
      <c r="B246" s="24" t="str">
        <f>VLOOKUP($A246,Questions!$A$2:$X$333,2,0)</f>
        <v>Do your data backup and retention policies and practices meet HIPAA requirements?</v>
      </c>
      <c r="C246" s="52" t="str">
        <f>VLOOKUP($A246,'Institution Evaluation'!$A$56:$K$346,3,0)&amp;""</f>
        <v/>
      </c>
      <c r="D246" s="52" t="str">
        <f>VLOOKUP($A246,'Institution Evaluation'!$A$56:$K$346,4,0)&amp;""</f>
        <v/>
      </c>
      <c r="E246" s="350" t="str">
        <f>VLOOKUP($A246,'Institution Evaluation'!$A$56:$K$346,5,0)&amp;""</f>
        <v>Based on the response to REQU-05 on the "START HERE" tab, this question does not apply to this product or service.</v>
      </c>
      <c r="F246" s="195" t="str">
        <f>VLOOKUP($A246,'Institution Evaluation'!$A$56:$K$346,6,0)&amp;""</f>
        <v/>
      </c>
      <c r="G246" s="37" t="str">
        <f>VLOOKUP($A246,'Institution Evaluation'!$A$56:$K$346,7,0)&amp;""</f>
        <v>Yes</v>
      </c>
      <c r="H246" s="192" t="str">
        <f>VLOOKUP($A246,'Institution Evaluation'!$A$56:$K$346,8,0)&amp;""</f>
        <v/>
      </c>
      <c r="I246" s="52" t="str">
        <f>VLOOKUP($A246,'Institution Evaluation'!$A$56:$K$346,9,0)&amp;""</f>
        <v>Minor Importance</v>
      </c>
      <c r="J246" s="193" t="str">
        <f>VLOOKUP($A246,'Institution Evaluation'!$A$56:$K$346,10,0)&amp;""</f>
        <v/>
      </c>
      <c r="K246" s="55" t="str">
        <f>IF(VLOOKUP($A246,'Institution Evaluation'!$A$56:$K$346,10,0)=TRUE,"Yes","")</f>
        <v/>
      </c>
    </row>
    <row r="247" spans="1:14" s="1" customFormat="1" ht="18">
      <c r="A247" s="70" t="str">
        <f>VLOOKUP(LEFT($A248,4),'Auto Responses'!$N$4:$O$38,2,0)&amp;""</f>
        <v xml:space="preserve"> Payment Card Industry Data Security Standard (PCI DSS)</v>
      </c>
      <c r="B247" s="29"/>
      <c r="C247" s="38"/>
      <c r="D247" s="38"/>
      <c r="E247" s="351"/>
      <c r="F247" s="139" t="s">
        <v>1089</v>
      </c>
      <c r="G247" s="358" t="s">
        <v>925</v>
      </c>
      <c r="H247" s="358" t="s">
        <v>927</v>
      </c>
      <c r="I247" s="358" t="s">
        <v>19</v>
      </c>
      <c r="J247" s="358" t="s">
        <v>912</v>
      </c>
      <c r="K247" s="38"/>
    </row>
    <row r="248" spans="1:14" ht="102">
      <c r="A248" s="25" t="s">
        <v>661</v>
      </c>
      <c r="B248" s="24" t="str">
        <f>VLOOKUP($A248,Questions!$A$2:$X$333,2,0)</f>
        <v>Do you have a current, executed within the past year, Attestation of Compliance (AoC) or Report on Compliance (RoC)?*</v>
      </c>
      <c r="C248" s="52" t="str">
        <f>VLOOKUP($A248,'Institution Evaluation'!$A$56:$K$346,3,0)&amp;""</f>
        <v/>
      </c>
      <c r="D248" s="52" t="str">
        <f>VLOOKUP($A248,'Institution Evaluation'!$A$56:$K$346,4,0)&amp;""</f>
        <v/>
      </c>
      <c r="E248" s="350" t="str">
        <f>VLOOKUP($A248,'Institution Evaluation'!$A$56:$K$346,5,0)&amp;""</f>
        <v>Based on the response to REQU-06 on the "START HERE" tab, this question does not apply to this product or service.</v>
      </c>
      <c r="F248" s="195" t="str">
        <f>VLOOKUP($A248,'Institution Evaluation'!$A$56:$K$346,6,0)&amp;""</f>
        <v/>
      </c>
      <c r="G248" s="37" t="str">
        <f>VLOOKUP($A248,'Institution Evaluation'!$A$56:$K$346,7,0)&amp;""</f>
        <v>Yes</v>
      </c>
      <c r="H248" s="192" t="str">
        <f>VLOOKUP($A248,'Institution Evaluation'!$A$56:$K$346,8,0)&amp;""</f>
        <v/>
      </c>
      <c r="I248" s="52" t="str">
        <f>VLOOKUP($A248,'Institution Evaluation'!$A$56:$K$346,9,0)&amp;""</f>
        <v>Critical Importance</v>
      </c>
      <c r="J248" s="193" t="str">
        <f>VLOOKUP($A248,'Institution Evaluation'!$A$56:$K$346,10,0)&amp;""</f>
        <v/>
      </c>
      <c r="K248" s="55" t="str">
        <f>IF(VLOOKUP($A248,'Institution Evaluation'!$A$56:$K$346,10,0)=TRUE,"Yes","")</f>
        <v/>
      </c>
      <c r="N248" s="67"/>
    </row>
    <row r="249" spans="1:14" ht="102">
      <c r="A249" s="25" t="s">
        <v>665</v>
      </c>
      <c r="B249" s="24" t="str">
        <f>VLOOKUP($A249,Questions!$A$2:$X$333,2,0)</f>
        <v>Is the application listed as an approved Payment Application Data Security Standard (PA-DSS) application?*</v>
      </c>
      <c r="C249" s="52" t="str">
        <f>VLOOKUP($A249,'Institution Evaluation'!$A$56:$K$346,3,0)&amp;""</f>
        <v/>
      </c>
      <c r="D249" s="52" t="str">
        <f>VLOOKUP($A249,'Institution Evaluation'!$A$56:$K$346,4,0)&amp;""</f>
        <v/>
      </c>
      <c r="E249" s="350" t="str">
        <f>VLOOKUP($A249,'Institution Evaluation'!$A$56:$K$346,5,0)&amp;""</f>
        <v>Based on the response to REQU-06 on the "START HERE" tab, this question does not apply to this product or service.</v>
      </c>
      <c r="F249" s="195" t="str">
        <f>VLOOKUP($A249,'Institution Evaluation'!$A$56:$K$346,6,0)&amp;""</f>
        <v/>
      </c>
      <c r="G249" s="37" t="str">
        <f>VLOOKUP($A249,'Institution Evaluation'!$A$56:$K$346,7,0)&amp;""</f>
        <v>No</v>
      </c>
      <c r="H249" s="192" t="str">
        <f>VLOOKUP($A249,'Institution Evaluation'!$A$56:$K$346,8,0)&amp;""</f>
        <v/>
      </c>
      <c r="I249" s="52" t="str">
        <f>VLOOKUP($A249,'Institution Evaluation'!$A$56:$K$346,9,0)&amp;""</f>
        <v>Critical Importance</v>
      </c>
      <c r="J249" s="193" t="str">
        <f>VLOOKUP($A249,'Institution Evaluation'!$A$56:$K$346,10,0)&amp;""</f>
        <v/>
      </c>
      <c r="K249" s="55" t="str">
        <f>IF(VLOOKUP($A249,'Institution Evaluation'!$A$56:$K$346,10,0)=TRUE,"Yes","")</f>
        <v/>
      </c>
    </row>
    <row r="250" spans="1:14" ht="102">
      <c r="A250" s="25" t="s">
        <v>667</v>
      </c>
      <c r="B250" s="24" t="str">
        <f>VLOOKUP($A250,Questions!$A$2:$X$333,2,0)</f>
        <v>Does the system or solutions use a third party to collect, store, process, or transmit cardholder (payment/credit/debt card) data?*</v>
      </c>
      <c r="C250" s="52" t="str">
        <f>VLOOKUP($A250,'Institution Evaluation'!$A$56:$K$346,3,0)&amp;""</f>
        <v/>
      </c>
      <c r="D250" s="52" t="str">
        <f>VLOOKUP($A250,'Institution Evaluation'!$A$56:$K$346,4,0)&amp;""</f>
        <v/>
      </c>
      <c r="E250" s="350" t="str">
        <f>VLOOKUP($A250,'Institution Evaluation'!$A$56:$K$346,5,0)&amp;""</f>
        <v>Based on the response to REQU-06 on the "START HERE" tab, this question does not apply to this product or service.</v>
      </c>
      <c r="F250" s="195" t="str">
        <f>VLOOKUP($A250,'Institution Evaluation'!$A$56:$K$346,6,0)&amp;""</f>
        <v/>
      </c>
      <c r="G250" s="37" t="str">
        <f>VLOOKUP($A250,'Institution Evaluation'!$A$56:$K$346,7,0)&amp;""</f>
        <v>No</v>
      </c>
      <c r="H250" s="192" t="str">
        <f>VLOOKUP($A250,'Institution Evaluation'!$A$56:$K$346,8,0)&amp;""</f>
        <v/>
      </c>
      <c r="I250" s="52" t="str">
        <f>VLOOKUP($A250,'Institution Evaluation'!$A$56:$K$346,9,0)&amp;""</f>
        <v>Critical Importance</v>
      </c>
      <c r="J250" s="193" t="str">
        <f>VLOOKUP($A250,'Institution Evaluation'!$A$56:$K$346,10,0)&amp;""</f>
        <v/>
      </c>
      <c r="K250" s="55" t="str">
        <f>IF(VLOOKUP($A250,'Institution Evaluation'!$A$56:$K$346,10,0)=TRUE,"Yes","")</f>
        <v/>
      </c>
    </row>
    <row r="251" spans="1:14" ht="102">
      <c r="A251" s="25" t="s">
        <v>668</v>
      </c>
      <c r="B251" s="24" t="str">
        <f>VLOOKUP($A251,Questions!$A$2:$X$333,2,0)</f>
        <v>Do your systems or solutions store, process, or transmit cardholder (payment/credit/debt card) data?</v>
      </c>
      <c r="C251" s="52" t="str">
        <f>VLOOKUP($A251,'Institution Evaluation'!$A$56:$K$346,3,0)&amp;""</f>
        <v/>
      </c>
      <c r="D251" s="52" t="str">
        <f>VLOOKUP($A251,'Institution Evaluation'!$A$56:$K$346,4,0)&amp;""</f>
        <v/>
      </c>
      <c r="E251" s="350" t="str">
        <f>VLOOKUP($A251,'Institution Evaluation'!$A$56:$K$346,5,0)&amp;""</f>
        <v>Based on the response to REQU-06 on the "START HERE" tab, this question does not apply to this product or service.</v>
      </c>
      <c r="F251" s="195" t="str">
        <f>VLOOKUP($A251,'Institution Evaluation'!$A$56:$K$346,6,0)&amp;""</f>
        <v/>
      </c>
      <c r="G251" s="37" t="str">
        <f>VLOOKUP($A251,'Institution Evaluation'!$A$56:$K$346,7,0)&amp;""</f>
        <v>Yes</v>
      </c>
      <c r="H251" s="192" t="str">
        <f>VLOOKUP($A251,'Institution Evaluation'!$A$56:$K$346,8,0)&amp;""</f>
        <v/>
      </c>
      <c r="I251" s="52" t="str">
        <f>VLOOKUP($A251,'Institution Evaluation'!$A$56:$K$346,9,0)&amp;""</f>
        <v>Standard Importance</v>
      </c>
      <c r="J251" s="193" t="str">
        <f>VLOOKUP($A251,'Institution Evaluation'!$A$56:$K$346,10,0)&amp;""</f>
        <v/>
      </c>
      <c r="K251" s="55" t="str">
        <f>IF(VLOOKUP($A251,'Institution Evaluation'!$A$56:$K$346,10,0)=TRUE,"Yes","")</f>
        <v/>
      </c>
    </row>
    <row r="252" spans="1:14" ht="102">
      <c r="A252" s="25" t="s">
        <v>670</v>
      </c>
      <c r="B252" s="24" t="str">
        <f>VLOOKUP($A252,Questions!$A$2:$X$333,2,0)</f>
        <v>Are you compliant with the Payment Card Industry Data Security Standard (PCI DSS)?</v>
      </c>
      <c r="C252" s="52" t="str">
        <f>VLOOKUP($A252,'Institution Evaluation'!$A$56:$K$346,3,0)&amp;""</f>
        <v/>
      </c>
      <c r="D252" s="52" t="str">
        <f>VLOOKUP($A252,'Institution Evaluation'!$A$56:$K$346,4,0)&amp;""</f>
        <v/>
      </c>
      <c r="E252" s="350" t="str">
        <f>VLOOKUP($A252,'Institution Evaluation'!$A$56:$K$346,5,0)&amp;""</f>
        <v>Based on the response to REQU-06 on the "START HERE" tab, this question does not apply to this product or service.</v>
      </c>
      <c r="F252" s="195" t="str">
        <f>VLOOKUP($A252,'Institution Evaluation'!$A$56:$K$346,6,0)&amp;""</f>
        <v/>
      </c>
      <c r="G252" s="37" t="str">
        <f>VLOOKUP($A252,'Institution Evaluation'!$A$56:$K$346,7,0)&amp;""</f>
        <v>Yes</v>
      </c>
      <c r="H252" s="192" t="str">
        <f>VLOOKUP($A252,'Institution Evaluation'!$A$56:$K$346,8,0)&amp;""</f>
        <v/>
      </c>
      <c r="I252" s="52" t="str">
        <f>VLOOKUP($A252,'Institution Evaluation'!$A$56:$K$346,9,0)&amp;""</f>
        <v>Standard Importance</v>
      </c>
      <c r="J252" s="193" t="str">
        <f>VLOOKUP($A252,'Institution Evaluation'!$A$56:$K$346,10,0)&amp;""</f>
        <v/>
      </c>
      <c r="K252" s="55" t="str">
        <f>IF(VLOOKUP($A252,'Institution Evaluation'!$A$56:$K$346,10,0)=TRUE,"Yes","")</f>
        <v/>
      </c>
    </row>
    <row r="253" spans="1:14" ht="102">
      <c r="A253" s="25" t="s">
        <v>671</v>
      </c>
      <c r="B253" s="24" t="str">
        <f>VLOOKUP($A253,Questions!$A$2:$X$333,2,0)</f>
        <v>Are you classified as a service provider?</v>
      </c>
      <c r="C253" s="52" t="str">
        <f>VLOOKUP($A253,'Institution Evaluation'!$A$56:$K$346,3,0)&amp;""</f>
        <v/>
      </c>
      <c r="D253" s="52" t="str">
        <f>VLOOKUP($A253,'Institution Evaluation'!$A$56:$K$346,4,0)&amp;""</f>
        <v/>
      </c>
      <c r="E253" s="350" t="str">
        <f>VLOOKUP($A253,'Institution Evaluation'!$A$56:$K$346,5,0)&amp;""</f>
        <v>Based on the response to REQU-06 on the "START HERE" tab, this question does not apply to this product or service.</v>
      </c>
      <c r="F253" s="195" t="str">
        <f>VLOOKUP($A253,'Institution Evaluation'!$A$56:$K$346,6,0)&amp;""</f>
        <v/>
      </c>
      <c r="G253" s="37" t="str">
        <f>VLOOKUP($A253,'Institution Evaluation'!$A$56:$K$346,7,0)&amp;""</f>
        <v>Yes</v>
      </c>
      <c r="H253" s="192" t="str">
        <f>VLOOKUP($A253,'Institution Evaluation'!$A$56:$K$346,8,0)&amp;""</f>
        <v/>
      </c>
      <c r="I253" s="52" t="str">
        <f>VLOOKUP($A253,'Institution Evaluation'!$A$56:$K$346,9,0)&amp;""</f>
        <v>Standard Importance</v>
      </c>
      <c r="J253" s="193" t="str">
        <f>VLOOKUP($A253,'Institution Evaluation'!$A$56:$K$346,10,0)&amp;""</f>
        <v/>
      </c>
      <c r="K253" s="55" t="str">
        <f>IF(VLOOKUP($A253,'Institution Evaluation'!$A$56:$K$346,10,0)=TRUE,"Yes","")</f>
        <v/>
      </c>
    </row>
    <row r="254" spans="1:14" ht="102">
      <c r="A254" s="25" t="s">
        <v>673</v>
      </c>
      <c r="B254" s="24" t="str">
        <f>VLOOKUP($A254,Questions!$A$2:$X$333,2,0)</f>
        <v>Are you on the list of Visa approved service providers?</v>
      </c>
      <c r="C254" s="52" t="str">
        <f>VLOOKUP($A254,'Institution Evaluation'!$A$56:$K$346,3,0)&amp;""</f>
        <v/>
      </c>
      <c r="D254" s="52" t="str">
        <f>VLOOKUP($A254,'Institution Evaluation'!$A$56:$K$346,4,0)&amp;""</f>
        <v/>
      </c>
      <c r="E254" s="350" t="str">
        <f>VLOOKUP($A254,'Institution Evaluation'!$A$56:$K$346,5,0)&amp;""</f>
        <v>Based on the response to REQU-06 on the "START HERE" tab, this question does not apply to this product or service.</v>
      </c>
      <c r="F254" s="195" t="str">
        <f>VLOOKUP($A254,'Institution Evaluation'!$A$56:$K$346,6,0)&amp;""</f>
        <v/>
      </c>
      <c r="G254" s="37" t="str">
        <f>VLOOKUP($A254,'Institution Evaluation'!$A$56:$K$346,7,0)&amp;""</f>
        <v>Yes</v>
      </c>
      <c r="H254" s="192" t="str">
        <f>VLOOKUP($A254,'Institution Evaluation'!$A$56:$K$346,8,0)&amp;""</f>
        <v/>
      </c>
      <c r="I254" s="52" t="str">
        <f>VLOOKUP($A254,'Institution Evaluation'!$A$56:$K$346,9,0)&amp;""</f>
        <v>Standard Importance</v>
      </c>
      <c r="J254" s="193" t="str">
        <f>VLOOKUP($A254,'Institution Evaluation'!$A$56:$K$346,10,0)&amp;""</f>
        <v/>
      </c>
      <c r="K254" s="55" t="str">
        <f>IF(VLOOKUP($A254,'Institution Evaluation'!$A$56:$K$346,10,0)=TRUE,"Yes","")</f>
        <v/>
      </c>
    </row>
    <row r="255" spans="1:14" ht="102">
      <c r="A255" s="25" t="s">
        <v>675</v>
      </c>
      <c r="B255" s="24" t="str">
        <f>VLOOKUP($A255,Questions!$A$2:$X$333,2,0)</f>
        <v>Are you classified as a merchant? If so, what level (1, 2, 3, 4)?</v>
      </c>
      <c r="C255" s="52" t="str">
        <f>VLOOKUP($A255,'Institution Evaluation'!$A$56:$K$346,3,0)&amp;""</f>
        <v/>
      </c>
      <c r="D255" s="52" t="str">
        <f>VLOOKUP($A255,'Institution Evaluation'!$A$56:$K$346,4,0)&amp;""</f>
        <v/>
      </c>
      <c r="E255" s="350" t="str">
        <f>VLOOKUP($A255,'Institution Evaluation'!$A$56:$K$346,5,0)&amp;""</f>
        <v>Based on the response to REQU-06 on the "START HERE" tab, this question does not apply to this product or service.</v>
      </c>
      <c r="F255" s="195" t="str">
        <f>VLOOKUP($A255,'Institution Evaluation'!$A$56:$K$346,6,0)&amp;""</f>
        <v/>
      </c>
      <c r="G255" s="37" t="str">
        <f>VLOOKUP($A255,'Institution Evaluation'!$A$56:$K$346,7,0)&amp;""</f>
        <v>Yes</v>
      </c>
      <c r="H255" s="192" t="str">
        <f>VLOOKUP($A255,'Institution Evaluation'!$A$56:$K$346,8,0)&amp;""</f>
        <v/>
      </c>
      <c r="I255" s="52" t="str">
        <f>VLOOKUP($A255,'Institution Evaluation'!$A$56:$K$346,9,0)&amp;""</f>
        <v>Standard Importance</v>
      </c>
      <c r="J255" s="193" t="str">
        <f>VLOOKUP($A255,'Institution Evaluation'!$A$56:$K$346,10,0)&amp;""</f>
        <v/>
      </c>
      <c r="K255" s="55" t="str">
        <f>IF(VLOOKUP($A255,'Institution Evaluation'!$A$56:$K$346,10,0)=TRUE,"Yes","")</f>
        <v/>
      </c>
    </row>
    <row r="256" spans="1:14" ht="102">
      <c r="A256" s="25" t="s">
        <v>677</v>
      </c>
      <c r="B256" s="24" t="str">
        <f>VLOOKUP($A256,Questions!$A$2:$X$333,2,0)</f>
        <v>Describe the architecture employed by the system to verify and authorize credit card transactions.</v>
      </c>
      <c r="C256" s="52" t="str">
        <f>VLOOKUP($A256,'Institution Evaluation'!$A$56:$K$346,3,0)&amp;""</f>
        <v/>
      </c>
      <c r="D256" s="52" t="str">
        <f>VLOOKUP($A256,'Institution Evaluation'!$A$56:$K$346,4,0)&amp;""</f>
        <v/>
      </c>
      <c r="E256" s="350" t="str">
        <f>VLOOKUP($A256,'Institution Evaluation'!$A$56:$K$346,5,0)&amp;""</f>
        <v>Based on the response to REQU-06 on the "START HERE" tab, this question does not apply to this product or service.</v>
      </c>
      <c r="F256" s="195" t="str">
        <f>VLOOKUP($A256,'Institution Evaluation'!$A$56:$K$346,6,0)&amp;""</f>
        <v/>
      </c>
      <c r="G256" s="37" t="str">
        <f>VLOOKUP($A256,'Institution Evaluation'!$A$56:$K$346,7,0)&amp;""</f>
        <v>Not scored</v>
      </c>
      <c r="H256" s="192" t="str">
        <f>VLOOKUP($A256,'Institution Evaluation'!$A$56:$K$346,8,0)&amp;""</f>
        <v/>
      </c>
      <c r="I256" s="52" t="str">
        <f>VLOOKUP($A256,'Institution Evaluation'!$A$56:$K$346,9,0)&amp;""</f>
        <v>Minor Importance</v>
      </c>
      <c r="J256" s="193" t="str">
        <f>VLOOKUP($A256,'Institution Evaluation'!$A$56:$K$346,10,0)&amp;""</f>
        <v/>
      </c>
      <c r="K256" s="55" t="str">
        <f>IF(VLOOKUP($A256,'Institution Evaluation'!$A$56:$K$346,10,0)=TRUE,"Yes","")</f>
        <v/>
      </c>
    </row>
    <row r="257" spans="1:13" ht="102">
      <c r="A257" s="25" t="s">
        <v>678</v>
      </c>
      <c r="B257" s="24" t="str">
        <f>VLOOKUP($A257,Questions!$A$2:$X$333,2,0)</f>
        <v>What payment processors/gateways does the system support?</v>
      </c>
      <c r="C257" s="52" t="str">
        <f>VLOOKUP($A257,'Institution Evaluation'!$A$56:$K$346,3,0)&amp;""</f>
        <v/>
      </c>
      <c r="D257" s="52" t="str">
        <f>VLOOKUP($A257,'Institution Evaluation'!$A$56:$K$346,4,0)&amp;""</f>
        <v/>
      </c>
      <c r="E257" s="350" t="str">
        <f>VLOOKUP($A257,'Institution Evaluation'!$A$56:$K$346,5,0)&amp;""</f>
        <v>Based on the response to REQU-06 on the "START HERE" tab, this question does not apply to this product or service.</v>
      </c>
      <c r="F257" s="195" t="str">
        <f>VLOOKUP($A257,'Institution Evaluation'!$A$56:$K$346,6,0)&amp;""</f>
        <v/>
      </c>
      <c r="G257" s="37" t="str">
        <f>VLOOKUP($A257,'Institution Evaluation'!$A$56:$K$346,7,0)&amp;""</f>
        <v>Yes</v>
      </c>
      <c r="H257" s="192" t="str">
        <f>VLOOKUP($A257,'Institution Evaluation'!$A$56:$K$346,8,0)&amp;""</f>
        <v/>
      </c>
      <c r="I257" s="52" t="str">
        <f>VLOOKUP($A257,'Institution Evaluation'!$A$56:$K$346,9,0)&amp;""</f>
        <v>Minor Importance</v>
      </c>
      <c r="J257" s="193" t="str">
        <f>VLOOKUP($A257,'Institution Evaluation'!$A$56:$K$346,10,0)&amp;""</f>
        <v/>
      </c>
      <c r="K257" s="55" t="str">
        <f>IF(VLOOKUP($A257,'Institution Evaluation'!$A$56:$K$346,10,0)=TRUE,"Yes","")</f>
        <v/>
      </c>
    </row>
    <row r="258" spans="1:13" ht="102">
      <c r="A258" s="25" t="s">
        <v>679</v>
      </c>
      <c r="B258" s="24" t="str">
        <f>VLOOKUP($A258,Questions!$A$2:$X$333,2,0)</f>
        <v>Can the application be installed in a PCI DSS–compliant manner?</v>
      </c>
      <c r="C258" s="52" t="str">
        <f>VLOOKUP($A258,'Institution Evaluation'!$A$56:$K$346,3,0)&amp;""</f>
        <v/>
      </c>
      <c r="D258" s="52" t="str">
        <f>VLOOKUP($A258,'Institution Evaluation'!$A$56:$K$346,4,0)&amp;""</f>
        <v/>
      </c>
      <c r="E258" s="350" t="str">
        <f>VLOOKUP($A258,'Institution Evaluation'!$A$56:$K$346,5,0)&amp;""</f>
        <v>Based on the response to REQU-06 on the "START HERE" tab, this question does not apply to this product or service.</v>
      </c>
      <c r="F258" s="195" t="str">
        <f>VLOOKUP($A258,'Institution Evaluation'!$A$56:$K$346,6,0)&amp;""</f>
        <v/>
      </c>
      <c r="G258" s="37" t="str">
        <f>VLOOKUP($A258,'Institution Evaluation'!$A$56:$K$346,7,0)&amp;""</f>
        <v>Yes</v>
      </c>
      <c r="H258" s="192" t="str">
        <f>VLOOKUP($A258,'Institution Evaluation'!$A$56:$K$346,8,0)&amp;""</f>
        <v/>
      </c>
      <c r="I258" s="52" t="str">
        <f>VLOOKUP($A258,'Institution Evaluation'!$A$56:$K$346,9,0)&amp;""</f>
        <v>Minor Importance</v>
      </c>
      <c r="J258" s="193" t="str">
        <f>VLOOKUP($A258,'Institution Evaluation'!$A$56:$K$346,10,0)&amp;""</f>
        <v/>
      </c>
      <c r="K258" s="55" t="str">
        <f>IF(VLOOKUP($A258,'Institution Evaluation'!$A$56:$K$346,10,0)=TRUE,"Yes","")</f>
        <v/>
      </c>
    </row>
    <row r="259" spans="1:13" ht="102">
      <c r="A259" s="25" t="s">
        <v>680</v>
      </c>
      <c r="B259" s="24" t="str">
        <f>VLOOKUP($A259,Questions!$A$2:$X$333,2,0)</f>
        <v>Include documentation describing the system's abilities to comply with the PCI DSS and any features or capabilities of the system that must be added or changed in order to operate in compliance with the standards.</v>
      </c>
      <c r="C259" s="52" t="str">
        <f>VLOOKUP($A259,'Institution Evaluation'!$A$56:$K$346,3,0)&amp;""</f>
        <v/>
      </c>
      <c r="D259" s="52" t="str">
        <f>VLOOKUP($A259,'Institution Evaluation'!$A$56:$K$346,4,0)&amp;""</f>
        <v/>
      </c>
      <c r="E259" s="350" t="str">
        <f>VLOOKUP($A259,'Institution Evaluation'!$A$56:$K$346,5,0)&amp;""</f>
        <v>Based on the response to REQU-06 on the "START HERE" tab, this question does not apply to this product or service.</v>
      </c>
      <c r="F259" s="195" t="str">
        <f>VLOOKUP($A259,'Institution Evaluation'!$A$56:$K$346,6,0)&amp;""</f>
        <v/>
      </c>
      <c r="G259" s="37" t="str">
        <f>VLOOKUP($A259,'Institution Evaluation'!$A$56:$K$346,7,0)&amp;""</f>
        <v>Not scored</v>
      </c>
      <c r="H259" s="192" t="str">
        <f>VLOOKUP($A259,'Institution Evaluation'!$A$56:$K$346,8,0)&amp;""</f>
        <v/>
      </c>
      <c r="I259" s="52" t="str">
        <f>VLOOKUP($A259,'Institution Evaluation'!$A$56:$K$346,9,0)&amp;""</f>
        <v>Minor Importance</v>
      </c>
      <c r="J259" s="193" t="str">
        <f>VLOOKUP($A259,'Institution Evaluation'!$A$56:$K$346,10,0)&amp;""</f>
        <v/>
      </c>
      <c r="K259" s="55" t="str">
        <f>IF(VLOOKUP($A259,'Institution Evaluation'!$A$56:$K$346,10,0)=TRUE,"Yes","")</f>
        <v/>
      </c>
      <c r="M259" s="255" t="s">
        <v>1531</v>
      </c>
    </row>
    <row r="260" spans="1:13" ht="47.25" customHeight="1">
      <c r="A260" s="285" t="s">
        <v>1593</v>
      </c>
    </row>
    <row r="261" spans="1:13" ht="34.5" hidden="1" customHeight="1"/>
    <row r="262" spans="1:13" ht="34.5" hidden="1" customHeight="1"/>
    <row r="263" spans="1:13" ht="34.5" hidden="1" customHeight="1"/>
    <row r="264" spans="1:13" ht="34.5" hidden="1" customHeight="1"/>
    <row r="265" spans="1:13" ht="34.5" hidden="1" customHeight="1"/>
  </sheetData>
  <mergeCells count="1">
    <mergeCell ref="A19:C19"/>
  </mergeCells>
  <phoneticPr fontId="32"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B20:I31 B2:J10 A3:A10 A35:K44" xr:uid="{2555B969-D0D6-4640-A68B-2B178F3C9EA5}"/>
    <dataValidation allowBlank="1" showInputMessage="1" showErrorMessage="1" promptTitle="Warning!" prompt="The HECVAT is built using a number of complex formulas. Editing this cell can break the functionality of the tool. " sqref="A45:E120 I46:I120 G46:G120 I130 G130 I135 G135 I142 G142 I145 G145 I150 G150 I160 G160 I164 G164 I170 G170 I173 G173 I189 G189 I192 G192 I199 G199 I207 G207 I212 G212 I217 G217 I247 G247" xr:uid="{2C8E55E6-5CCD-497E-AD40-1159ED4F899F}"/>
  </dataValidations>
  <hyperlinks>
    <hyperlink ref="G21" location="'Privacy Analyst Evaluation'!A47" display="'Privacy Analyst Evaluation'!A47" xr:uid="{63AE7EE6-A856-4AFE-84E3-761A880419C2}"/>
    <hyperlink ref="G22" location="'Privacy Analyst Evaluation'!A53" display="'Privacy Analyst Evaluation'!A53" xr:uid="{E48DA7E0-F9B4-4E44-A2E2-A6E7B20A8CB3}"/>
    <hyperlink ref="G23" location="'Privacy Analyst Evaluation'!A58" display="'Privacy Analyst Evaluation'!A58" xr:uid="{71C46F89-6396-41D0-9EE1-410192FC96D8}"/>
    <hyperlink ref="G24" location="'Privacy Analyst Evaluation'!A62" display="'Privacy Analyst Evaluation'!A62" xr:uid="{67BB4FB0-5A69-4CBB-9BE8-9F0E61D7541D}"/>
    <hyperlink ref="G30" location="'Privacy Analyst Evaluation'!A113" display="'Privacy Analyst Evaluation'!A113" xr:uid="{F35BA202-7B88-45D0-AE40-C6918C469BBD}"/>
    <hyperlink ref="G29" location="'Privacy Analyst Evaluation'!A97" display="'Privacy Analyst Evaluation'!A97" xr:uid="{1E69ABA0-B73D-4FBD-B382-D2A5BCE10F7A}"/>
    <hyperlink ref="G28" location="'Privacy Analyst Evaluation'!A91" display="'Privacy Analyst Evaluation'!A91" xr:uid="{418857A5-69F8-4BB3-8B8D-3CDF6F1A215E}"/>
    <hyperlink ref="G27" location="'Privacy Analyst Evaluation'!A77" display="'Privacy Analyst Evaluation'!A77" xr:uid="{0630B5DB-EBAC-43FF-AF48-6C77A23DEE58}"/>
    <hyperlink ref="G26" location="'Privacy Analyst Evaluation'!A68" display="'Privacy Analyst Evaluation'!A68" xr:uid="{EFF65815-977E-4867-AE1F-72F2A5AA3B38}"/>
    <hyperlink ref="G25" location="'Privacy Analyst Evaluation'!A65" display="'Privacy Analyst Evaluation'!A65" xr:uid="{96E450A2-66A4-4491-AD78-EB7F815A7B50}"/>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76"/>
  <sheetViews>
    <sheetView showZeros="0" topLeftCell="A2" zoomScale="80" zoomScaleNormal="80" workbookViewId="0">
      <selection activeCell="A2" sqref="A2"/>
    </sheetView>
  </sheetViews>
  <sheetFormatPr baseColWidth="10" defaultColWidth="0" defaultRowHeight="16" zeroHeight="1"/>
  <cols>
    <col min="1" max="1" width="11.125" style="62" customWidth="1"/>
    <col min="2" max="2" width="57.75" style="59" customWidth="1"/>
    <col min="3" max="3" width="71.125" style="60" customWidth="1"/>
    <col min="4" max="4" width="80.25" style="61" customWidth="1"/>
    <col min="5" max="5" width="6.625" style="62" customWidth="1"/>
    <col min="6" max="6" width="0" style="62" hidden="1" customWidth="1"/>
    <col min="7" max="16384" width="6.625" style="62" hidden="1"/>
  </cols>
  <sheetData>
    <row r="1" spans="1:5" ht="187" hidden="1">
      <c r="A1" s="62" t="s">
        <v>1535</v>
      </c>
    </row>
    <row r="2" spans="1:5" ht="25">
      <c r="A2" s="188" t="s">
        <v>998</v>
      </c>
      <c r="B2" s="188"/>
      <c r="C2" s="188"/>
      <c r="D2" s="286" t="s">
        <v>1593</v>
      </c>
    </row>
    <row r="3" spans="1:5" ht="18">
      <c r="A3" s="250" t="s">
        <v>1090</v>
      </c>
      <c r="B3" s="72"/>
      <c r="C3" s="72"/>
      <c r="D3" s="287"/>
    </row>
    <row r="4" spans="1:5" ht="18">
      <c r="A4" s="252" t="s">
        <v>1595</v>
      </c>
      <c r="B4" s="72"/>
      <c r="C4" s="72"/>
      <c r="D4" s="287"/>
    </row>
    <row r="5" spans="1:5" s="254" customFormat="1" ht="18">
      <c r="A5" s="253" t="s">
        <v>1527</v>
      </c>
      <c r="B5" s="72"/>
      <c r="C5" s="72"/>
      <c r="D5" s="287"/>
    </row>
    <row r="6" spans="1:5" s="254" customFormat="1" ht="18">
      <c r="A6" s="253" t="s">
        <v>1528</v>
      </c>
      <c r="B6" s="72"/>
      <c r="C6" s="72"/>
      <c r="D6" s="288"/>
    </row>
    <row r="7" spans="1:5" ht="19">
      <c r="A7" s="251" t="str">
        <f>VLOOKUP(LEFT($A8,4),'Auto Responses'!$N$4:$O$38,2,0)&amp;""</f>
        <v xml:space="preserve"> General Information</v>
      </c>
      <c r="B7" s="70"/>
      <c r="C7" s="63" t="str">
        <f>Questions!$S$2</f>
        <v>Reason for Question</v>
      </c>
      <c r="D7" s="63" t="str">
        <f>Questions!$T$2</f>
        <v>Follow-Up Inquiries/Responses</v>
      </c>
    </row>
    <row r="8" spans="1:5">
      <c r="A8" s="64" t="s">
        <v>21</v>
      </c>
      <c r="B8" s="64" t="str">
        <f>VLOOKUP($A8,Questions!$A$3:$X$333,2,0)&amp;""</f>
        <v>Solution Provider Name</v>
      </c>
      <c r="C8" s="64" t="str">
        <f>VLOOKUP($A8,Questions!$A$3:$X$333,19,0)&amp;""</f>
        <v/>
      </c>
      <c r="D8" s="64" t="str">
        <f>VLOOKUP($A8,Questions!$A$3:$X$333,20,0)&amp;""</f>
        <v/>
      </c>
    </row>
    <row r="9" spans="1:5">
      <c r="A9" s="64" t="s">
        <v>24</v>
      </c>
      <c r="B9" s="64" t="str">
        <f>VLOOKUP($A9,Questions!$A$3:$X$333,2,0)&amp;""</f>
        <v>Solution Name</v>
      </c>
      <c r="C9" s="64" t="str">
        <f>VLOOKUP($A9,Questions!$A$3:$X$333,19,0)&amp;""</f>
        <v/>
      </c>
      <c r="D9" s="64" t="str">
        <f>VLOOKUP($A9,Questions!$A$3:$X$333,20,0)&amp;""</f>
        <v/>
      </c>
    </row>
    <row r="10" spans="1:5">
      <c r="A10" s="64" t="s">
        <v>25</v>
      </c>
      <c r="B10" s="64" t="str">
        <f>VLOOKUP($A10,Questions!$A$3:$X$333,2,0)&amp;""</f>
        <v>Solution Description</v>
      </c>
      <c r="C10" s="64" t="str">
        <f>VLOOKUP($A10,Questions!$A$3:$X$333,19,0)&amp;""</f>
        <v/>
      </c>
      <c r="D10" s="64" t="str">
        <f>VLOOKUP($A10,Questions!$A$3:$X$333,20,0)&amp;""</f>
        <v/>
      </c>
    </row>
    <row r="11" spans="1:5">
      <c r="A11" s="64" t="s">
        <v>26</v>
      </c>
      <c r="B11" s="64" t="str">
        <f>VLOOKUP($A11,Questions!$A$3:$X$333,2,0)&amp;""</f>
        <v>Solution Provider Contact Name</v>
      </c>
      <c r="C11" s="64" t="str">
        <f>VLOOKUP($A11,Questions!$A$3:$X$333,19,0)&amp;""</f>
        <v/>
      </c>
      <c r="D11" s="64" t="str">
        <f>VLOOKUP($A11,Questions!$A$3:$X$333,20,0)&amp;""</f>
        <v/>
      </c>
    </row>
    <row r="12" spans="1:5">
      <c r="A12" s="64" t="s">
        <v>27</v>
      </c>
      <c r="B12" s="64" t="str">
        <f>VLOOKUP($A12,Questions!$A$3:$X$333,2,0)&amp;""</f>
        <v>Solution Provider Contact Title</v>
      </c>
      <c r="C12" s="64" t="str">
        <f>VLOOKUP($A12,Questions!$A$3:$X$333,19,0)&amp;""</f>
        <v/>
      </c>
      <c r="D12" s="64" t="str">
        <f>VLOOKUP($A12,Questions!$A$3:$X$333,20,0)&amp;""</f>
        <v/>
      </c>
    </row>
    <row r="13" spans="1:5">
      <c r="A13" s="64" t="s">
        <v>28</v>
      </c>
      <c r="B13" s="64" t="str">
        <f>VLOOKUP($A13,Questions!$A$3:$X$333,2,0)&amp;""</f>
        <v>Solution Provider Contact Email</v>
      </c>
      <c r="C13" s="64" t="str">
        <f>VLOOKUP($A13,Questions!$A$3:$X$333,19,0)&amp;""</f>
        <v/>
      </c>
      <c r="D13" s="64" t="str">
        <f>VLOOKUP($A13,Questions!$A$3:$X$333,20,0)&amp;""</f>
        <v/>
      </c>
    </row>
    <row r="14" spans="1:5">
      <c r="A14" s="64" t="s">
        <v>29</v>
      </c>
      <c r="B14" s="64" t="str">
        <f>VLOOKUP($A14,Questions!$A$3:$X$333,2,0)&amp;""</f>
        <v>Solution Provider Contact Phone Number</v>
      </c>
      <c r="C14" s="64" t="str">
        <f>VLOOKUP($A14,Questions!$A$3:$X$333,19,0)&amp;""</f>
        <v/>
      </c>
      <c r="D14" s="64" t="str">
        <f>VLOOKUP($A14,Questions!$A$3:$X$333,20,0)&amp;""</f>
        <v/>
      </c>
    </row>
    <row r="15" spans="1:5">
      <c r="A15" s="64" t="s">
        <v>30</v>
      </c>
      <c r="B15" s="64" t="str">
        <f>VLOOKUP($A15,Questions!$A$3:$X$333,2,0)&amp;""</f>
        <v>Country of Company Headquarters</v>
      </c>
      <c r="C15" s="64" t="str">
        <f>VLOOKUP($A15,Questions!$A$3:$X$333,19,0)&amp;""</f>
        <v/>
      </c>
      <c r="D15" s="64" t="str">
        <f>VLOOKUP($A15,Questions!$A$3:$X$333,20,0)&amp;""</f>
        <v/>
      </c>
    </row>
    <row r="16" spans="1:5">
      <c r="A16" s="64" t="s">
        <v>32</v>
      </c>
      <c r="B16" s="64" t="str">
        <f>VLOOKUP($A16,Questions!$A$3:$X$333,2,0)&amp;""</f>
        <v>Employee Work Locations (all)</v>
      </c>
      <c r="C16" s="64" t="str">
        <f>VLOOKUP($A16,Questions!$A$3:$X$333,19,0)&amp;""</f>
        <v>Determines where solution provider employees will be physically located.</v>
      </c>
      <c r="D16" s="64" t="str">
        <f>VLOOKUP($A16,Questions!$A$3:$X$333,20,0)&amp;""</f>
        <v>Follow-up inquiries will be institution/implementation specific.</v>
      </c>
      <c r="E16" s="258" t="s">
        <v>1536</v>
      </c>
    </row>
    <row r="17" spans="1:5" ht="19">
      <c r="A17" s="70" t="str">
        <f>VLOOKUP(LEFT($A18,4),'Auto Responses'!$N$4:$O$38,2,0)&amp;""</f>
        <v xml:space="preserve"> Company Information</v>
      </c>
      <c r="B17" s="70"/>
      <c r="C17" s="63" t="str">
        <f>Questions!$S$2</f>
        <v>Reason for Question</v>
      </c>
      <c r="D17" s="63" t="str">
        <f>Questions!$T$2</f>
        <v>Follow-Up Inquiries/Responses</v>
      </c>
    </row>
    <row r="18" spans="1:5" ht="75">
      <c r="A18" s="64" t="s">
        <v>35</v>
      </c>
      <c r="B18" s="64" t="str">
        <f>VLOOKUP($A18,Questions!$A$3:$X$333,2,0)&amp;""</f>
        <v>Do you have a dedicated software and system development team(s) (e.g., customer support, implementation, product management, etc.)?*</v>
      </c>
      <c r="C18" s="64"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64" t="str">
        <f>VLOOKUP($A18,Questions!$A$3:$X$333,20,0)&amp;""</f>
        <v>Follow-up inquiries for solution provider team strategies will be unique to your institution and may depend on the underlying infrastructures needed to support a system for your specific use case.</v>
      </c>
    </row>
    <row r="19" spans="1:5" ht="43.5" customHeight="1">
      <c r="A19" s="64" t="s">
        <v>42</v>
      </c>
      <c r="B19" s="64" t="str">
        <f>VLOOKUP($A19,Questions!$A$3:$X$333,2,0)&amp;""</f>
        <v>Describe your organization’s business background and ownership structure, including all parent and subsidiary relationships.</v>
      </c>
      <c r="C19" s="64" t="str">
        <f>VLOOKUP($A19,Questions!$A$3:$X$333,19,0)&amp;""</f>
        <v>This information defines the scale of company (support, resources, skillsets), general information about the organization that may be concerning.</v>
      </c>
      <c r="D19" s="64" t="str">
        <f>VLOOKUP($A19,Questions!$A$3:$X$333,20,0)&amp;""</f>
        <v>Follow-up responses to this one are normally unique to their response. Vague answers here usually result in some footprinting of a solution provider to determine their "reputation."</v>
      </c>
    </row>
    <row r="20" spans="1:5" ht="67.5" customHeight="1">
      <c r="A20" s="64" t="s">
        <v>44</v>
      </c>
      <c r="B20" s="64" t="str">
        <f>VLOOKUP($A20,Questions!$A$3:$X$333,2,0)&amp;""</f>
        <v>Have you operated without unplanned disruptions to this solution in the past 12 months?</v>
      </c>
      <c r="C20" s="64" t="str">
        <f>VLOOKUP($A20,Questions!$A$3:$X$333,19,0)&amp;""</f>
        <v>We want transparency from the solution provider, and an honest answer to this question, regardless of the response, is a good step in building trust.</v>
      </c>
      <c r="D20" s="64"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c r="A21" s="64" t="s">
        <v>45</v>
      </c>
      <c r="B21" s="64" t="str">
        <f>VLOOKUP($A21,Questions!$A$3:$X$333,2,0)&amp;""</f>
        <v>Do you have a dedicated information security staff or office?</v>
      </c>
      <c r="C21" s="64"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64"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c r="A22" s="64" t="s">
        <v>47</v>
      </c>
      <c r="B22" s="64" t="str">
        <f>VLOOKUP($A22,Questions!$A$3:$X$333,2,0)&amp;""</f>
        <v>Use this area to share information about your environment that will assist those who are assessing your company's data security program.</v>
      </c>
      <c r="C22" s="64"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64"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58" t="s">
        <v>1536</v>
      </c>
    </row>
    <row r="23" spans="1:5" ht="19">
      <c r="A23" s="70" t="str">
        <f>VLOOKUP(LEFT($A24,4),'Auto Responses'!$N$4:$O$38,2,0)&amp;""</f>
        <v xml:space="preserve"> Required Questions</v>
      </c>
      <c r="B23" s="70"/>
      <c r="C23" s="63" t="str">
        <f>Questions!$S$2</f>
        <v>Reason for Question</v>
      </c>
      <c r="D23" s="63" t="str">
        <f>Questions!$T$2</f>
        <v>Follow-Up Inquiries/Responses</v>
      </c>
    </row>
    <row r="24" spans="1:5" s="320" customFormat="1" ht="18">
      <c r="A24" s="321" t="s">
        <v>1601</v>
      </c>
      <c r="B24" s="318"/>
      <c r="C24" s="319"/>
      <c r="D24" s="319"/>
    </row>
    <row r="25" spans="1:5" ht="36.75" customHeight="1">
      <c r="A25" s="64" t="s">
        <v>48</v>
      </c>
      <c r="B25" s="64" t="str">
        <f>VLOOKUP($A25,Questions!$A$3:$X$333,2,0)&amp;""</f>
        <v>Are you offering either a product or platform, as opposed to only offering a service</v>
      </c>
      <c r="C25" s="64" t="s">
        <v>1566</v>
      </c>
      <c r="D25" s="64" t="str">
        <f>VLOOKUP($A25,Questions!$A$3:$X$333,19,0)&amp;""</f>
        <v/>
      </c>
    </row>
    <row r="26" spans="1:5" ht="38.25" customHeight="1">
      <c r="A26" s="64" t="s">
        <v>51</v>
      </c>
      <c r="B26" s="64" t="str">
        <f>VLOOKUP($A26,Questions!$A$3:$X$333,2,0)&amp;""</f>
        <v>Does your product or service have an interface?</v>
      </c>
      <c r="C26" s="64" t="s">
        <v>1567</v>
      </c>
      <c r="D26" s="64" t="str">
        <f>VLOOKUP($A26,Questions!$A$3:$X$333,19,0)&amp;""</f>
        <v/>
      </c>
    </row>
    <row r="27" spans="1:5">
      <c r="A27" s="64" t="s">
        <v>54</v>
      </c>
      <c r="B27" s="64" t="str">
        <f>VLOOKUP($A27,Questions!$A$3:$X$333,2,0)&amp;""</f>
        <v>Are you providing consulting services?</v>
      </c>
      <c r="C27" s="64" t="s">
        <v>1568</v>
      </c>
      <c r="D27" s="64" t="str">
        <f>VLOOKUP($A27,Questions!$A$3:$X$333,19,0)&amp;""</f>
        <v/>
      </c>
    </row>
    <row r="28" spans="1:5" ht="30">
      <c r="A28" s="64" t="s">
        <v>58</v>
      </c>
      <c r="B28" s="64" t="str">
        <f>VLOOKUP($A28,Questions!$A$3:$X$333,2,0)&amp;""</f>
        <v>Does your solution have AI features, or are there plans to implement AI features in the next 12 months?</v>
      </c>
      <c r="C28" s="64" t="s">
        <v>1569</v>
      </c>
      <c r="D28" s="64" t="str">
        <f>VLOOKUP($A28,Questions!$A$3:$X$333,19,0)&amp;""</f>
        <v/>
      </c>
    </row>
    <row r="29" spans="1:5" ht="30">
      <c r="A29" s="64" t="s">
        <v>61</v>
      </c>
      <c r="B29" s="64" t="str">
        <f>VLOOKUP($A29,Questions!$A$3:$X$333,2,0)&amp;""</f>
        <v>Does your solution process protected health information (PHI) or any data covered by the Health Insurance Portability and Accountability Act (HIPAA)?</v>
      </c>
      <c r="C29" s="64" t="s">
        <v>1570</v>
      </c>
      <c r="D29" s="64" t="str">
        <f>VLOOKUP($A29,Questions!$A$3:$X$333,19,0)&amp;""</f>
        <v/>
      </c>
    </row>
    <row r="30" spans="1:5" ht="33.75" customHeight="1">
      <c r="A30" s="64" t="s">
        <v>64</v>
      </c>
      <c r="B30" s="64" t="str">
        <f>VLOOKUP($A30,Questions!$A$3:$X$333,2,0)&amp;""</f>
        <v>Is the solution designed to process, store, or transmit credit card information?</v>
      </c>
      <c r="C30" s="64" t="s">
        <v>1571</v>
      </c>
      <c r="D30" s="64" t="str">
        <f>VLOOKUP($A30,Questions!$A$3:$X$333,19,0)&amp;""</f>
        <v/>
      </c>
    </row>
    <row r="31" spans="1:5" ht="66.75" customHeight="1">
      <c r="A31" s="64" t="s">
        <v>67</v>
      </c>
      <c r="B31" s="64"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64" t="s">
        <v>1572</v>
      </c>
      <c r="D31" s="64" t="str">
        <f>VLOOKUP($A31,Questions!$A$3:$X$333,19,0)&amp;""</f>
        <v/>
      </c>
      <c r="E31" s="258" t="s">
        <v>1536</v>
      </c>
    </row>
    <row r="32" spans="1:5" ht="19">
      <c r="A32" s="70" t="str">
        <f>VLOOKUP(LEFT($A33,4),'Auto Responses'!$N$4:$O$38,2,0)&amp;""</f>
        <v xml:space="preserve"> Documentation</v>
      </c>
      <c r="B32" s="70"/>
      <c r="C32" s="63" t="str">
        <f>Questions!$S$2</f>
        <v>Reason for Question</v>
      </c>
      <c r="D32" s="63" t="str">
        <f>Questions!$T$2</f>
        <v>Follow-Up Inquiries/Responses</v>
      </c>
    </row>
    <row r="33" spans="1:5" ht="42" customHeight="1">
      <c r="A33" s="64" t="s">
        <v>70</v>
      </c>
      <c r="B33" s="64" t="str">
        <f>VLOOKUP($A33,Questions!$A$3:$X$333,2,0)&amp;""</f>
        <v>Do you have a well-documented business continuity plan (BCP), with a clear owner, that is tested annually?*</v>
      </c>
      <c r="C33" s="64" t="str">
        <f>VLOOKUP($A33,Questions!$A$3:$X$333,19,0)&amp;""</f>
        <v/>
      </c>
      <c r="D33" s="64" t="str">
        <f>VLOOKUP($A33,Questions!$A$3:$X$333,20,0)&amp;""</f>
        <v/>
      </c>
    </row>
    <row r="34" spans="1:5" ht="38.25" customHeight="1">
      <c r="A34" s="64" t="s">
        <v>76</v>
      </c>
      <c r="B34" s="64" t="str">
        <f>VLOOKUP($A34,Questions!$A$3:$X$333,2,0)&amp;""</f>
        <v>Do you have a well-documented disaster recovery plan (DRP), with a clear owner, that is tested annually?*</v>
      </c>
      <c r="C34" s="64" t="str">
        <f>VLOOKUP($A34,Questions!$A$3:$X$333,19,0)&amp;""</f>
        <v/>
      </c>
      <c r="D34" s="64" t="str">
        <f>VLOOKUP($A34,Questions!$A$3:$X$333,20,0)&amp;""</f>
        <v/>
      </c>
    </row>
    <row r="35" spans="1:5" ht="35.25" customHeight="1">
      <c r="A35" s="64" t="s">
        <v>77</v>
      </c>
      <c r="B35" s="64" t="str">
        <f>VLOOKUP($A35,Questions!$A$3:$X$333,2,0)&amp;""</f>
        <v>Have you undergone a SSAE 18/SOC 2 audit?</v>
      </c>
      <c r="C35" s="64" t="str">
        <f>VLOOKUP($A35,Questions!$A$3:$X$333,19,0)&amp;""</f>
        <v>SSAE 18 and SOC2 audits are standard documentation, relevant to institutions requiring a solution provider to undergo SSAE 18 audits.</v>
      </c>
      <c r="D35" s="64" t="str">
        <f>VLOOKUP($A35,Questions!$A$3:$X$333,20,0)&amp;""</f>
        <v>Follow-up inquiries for SSAE 18 content will be institution/implementation specific.</v>
      </c>
    </row>
    <row r="36" spans="1:5" ht="60">
      <c r="A36" s="64" t="s">
        <v>80</v>
      </c>
      <c r="B36" s="64" t="str">
        <f>VLOOKUP($A36,Questions!$A$3:$X$333,2,0)&amp;""</f>
        <v>Do you conform with a specific industry standard security framework (e.g., NIST Cybersecurity Framework, CIS Controls, ISO 27001, etc.)?</v>
      </c>
      <c r="C36" s="64" t="str">
        <f>VLOOKUP($A36,Questions!$A$3:$X$333,19,0)&amp;""</f>
        <v>The details of the standard are not the focus here; it is the fact that a solution provider builds their environment around a standard and that they continually evaluate and assess their security programs.</v>
      </c>
      <c r="D36" s="64"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c r="A37" s="64" t="s">
        <v>84</v>
      </c>
      <c r="B37" s="64" t="str">
        <f>VLOOKUP($A37,Questions!$A$3:$X$333,2,0)&amp;""</f>
        <v>Can you provide overall system and/or application architecture diagrams, including a full description of the data flow for all components of the system?</v>
      </c>
      <c r="C37" s="64"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64"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c r="A38" s="64" t="s">
        <v>88</v>
      </c>
      <c r="B38" s="64" t="str">
        <f>VLOOKUP($A38,Questions!$A$3:$X$333,2,0)&amp;""</f>
        <v>Does your organization have a data privacy policy?</v>
      </c>
      <c r="C38" s="64"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64"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c r="A39" s="64" t="s">
        <v>92</v>
      </c>
      <c r="B39" s="64" t="str">
        <f>VLOOKUP($A39,Questions!$A$3:$X$333,2,0)&amp;""</f>
        <v>Do you have a documented, and currently implemented, employee onboarding and offboarding policy?</v>
      </c>
      <c r="C39" s="64"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64" t="str">
        <f>VLOOKUP($A39,Questions!$A$3:$X$333,20,0)&amp;""</f>
        <v>Unsatisfactory answers should be met with questions about access control authority, roles and responsibilities (of access grantors), administrative privileges within the solution provider's infrastructure(s), etc.</v>
      </c>
      <c r="E39" s="258" t="s">
        <v>1536</v>
      </c>
    </row>
    <row r="40" spans="1:5" ht="19">
      <c r="A40" s="70" t="str">
        <f>VLOOKUP(LEFT($A41,4),'Auto Responses'!$N$4:$O$38,2,0)&amp;""</f>
        <v xml:space="preserve"> IT Accessibility</v>
      </c>
      <c r="B40" s="70"/>
      <c r="C40" s="63" t="str">
        <f>Questions!$S$2</f>
        <v>Reason for Question</v>
      </c>
      <c r="D40" s="63" t="str">
        <f>Questions!$T$2</f>
        <v>Follow-Up Inquiries/Responses</v>
      </c>
    </row>
    <row r="41" spans="1:5">
      <c r="A41" s="64" t="s">
        <v>93</v>
      </c>
      <c r="B41" s="64" t="str">
        <f>VLOOKUP($A41,Questions!$A$3:$X$333,2,0)&amp;""</f>
        <v>Solution Provider Accessibility Contact Name</v>
      </c>
      <c r="C41" s="64" t="str">
        <f>VLOOKUP($A41,Questions!$A$3:$X$333,19,0)&amp;""</f>
        <v/>
      </c>
      <c r="D41" s="64" t="str">
        <f>VLOOKUP($A41,Questions!$A$3:$X$333,20,0)&amp;""</f>
        <v/>
      </c>
    </row>
    <row r="42" spans="1:5">
      <c r="A42" s="64" t="s">
        <v>94</v>
      </c>
      <c r="B42" s="64" t="str">
        <f>VLOOKUP($A42,Questions!$A$3:$X$333,2,0)&amp;""</f>
        <v>Solution Provider Accessibility Contact Title</v>
      </c>
      <c r="C42" s="64" t="str">
        <f>VLOOKUP($A42,Questions!$A$3:$X$333,19,0)&amp;""</f>
        <v/>
      </c>
      <c r="D42" s="64" t="str">
        <f>VLOOKUP($A42,Questions!$A$3:$X$333,20,0)&amp;""</f>
        <v/>
      </c>
    </row>
    <row r="43" spans="1:5">
      <c r="A43" s="64" t="s">
        <v>95</v>
      </c>
      <c r="B43" s="64" t="str">
        <f>VLOOKUP($A43,Questions!$A$3:$X$333,2,0)&amp;""</f>
        <v>Solution Provider Accessibility Contact Email</v>
      </c>
      <c r="C43" s="64" t="str">
        <f>VLOOKUP($A43,Questions!$A$3:$X$333,19,0)&amp;""</f>
        <v/>
      </c>
      <c r="D43" s="64" t="str">
        <f>VLOOKUP($A43,Questions!$A$3:$X$333,20,0)&amp;""</f>
        <v/>
      </c>
    </row>
    <row r="44" spans="1:5">
      <c r="A44" s="64" t="s">
        <v>96</v>
      </c>
      <c r="B44" s="64" t="str">
        <f>VLOOKUP($A44,Questions!$A$3:$X$333,2,0)&amp;""</f>
        <v>Solution Provider Accessibility Contact Phone Number</v>
      </c>
      <c r="C44" s="64" t="str">
        <f>VLOOKUP($A44,Questions!$A$3:$X$333,19,0)&amp;""</f>
        <v/>
      </c>
      <c r="D44" s="64" t="str">
        <f>VLOOKUP($A44,Questions!$A$3:$X$333,20,0)&amp;""</f>
        <v/>
      </c>
    </row>
    <row r="45" spans="1:5">
      <c r="A45" s="64" t="s">
        <v>97</v>
      </c>
      <c r="B45" s="64" t="str">
        <f>VLOOKUP($A45,Questions!$A$3:$X$333,2,0)&amp;""</f>
        <v>Web Link to Accessibility Statement or VPAT</v>
      </c>
      <c r="C45" s="64" t="str">
        <f>VLOOKUP($A45,Questions!$A$3:$X$333,19,0)&amp;""</f>
        <v/>
      </c>
      <c r="D45" s="64" t="str">
        <f>VLOOKUP($A45,Questions!$A$3:$X$333,20,0)&amp;""</f>
        <v/>
      </c>
    </row>
    <row r="46" spans="1:5" ht="90">
      <c r="A46" s="64" t="s">
        <v>101</v>
      </c>
      <c r="B46" s="64" t="str">
        <f>VLOOKUP($A46,Questions!$A$3:$X$333,2,0)&amp;""</f>
        <v>Has a VPAT or ACR been created or updated for the solution and version under consideration within the past 12 months?*</v>
      </c>
      <c r="C46" s="64" t="str">
        <f>VLOOKUP($A46,Questions!$A$3:$X$333,19,0)&amp;""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46" s="64" t="str">
        <f>VLOOKUP($A46,Questions!$A$3:$X$333,20,0)&amp;""</f>
        <v>Cross-reference Accessibility Conformance Reports (ACR) with any answers from ITAC-14 about product roadmaps for accessibility improvements.</v>
      </c>
    </row>
    <row r="47" spans="1:5" ht="55.5" customHeight="1">
      <c r="A47" s="64" t="s">
        <v>103</v>
      </c>
      <c r="B47" s="64" t="str">
        <f>VLOOKUP($A47,Questions!$A$3:$X$333,2,0)&amp;""</f>
        <v>Will your company agree to meet your stated accessibility standard or WCAG 2.1 AA as part of your contractual agreement for the solution?*</v>
      </c>
      <c r="C47" s="64" t="str">
        <f>VLOOKUP($A47,Questions!$A$3:$X$333,19,0)&amp;""</f>
        <v xml:space="preserve">Federal regulation requires that technology products conform to WCAG 2.1 AA. Technology platforms that do not substantially conform to this standard put schools at risk of not complying with these requirements. </v>
      </c>
      <c r="D47" s="64" t="str">
        <f>VLOOKUP($A47,Questions!$A$3:$X$333,20,0)&amp;""</f>
        <v/>
      </c>
    </row>
    <row r="48" spans="1:5" ht="70.5" customHeight="1">
      <c r="A48" s="64" t="s">
        <v>106</v>
      </c>
      <c r="B48" s="64" t="str">
        <f>VLOOKUP($A48,Questions!$A$3:$X$333,2,0)&amp;""</f>
        <v>Does the solution substantially conform to WCAG 2.1 AA?*</v>
      </c>
      <c r="C48" s="64" t="str">
        <f>VLOOKUP($A48,Questions!$A$3:$X$333,19,0)&amp;""</f>
        <v xml:space="preserve">Federal regulation requires that technology products conform to WCAG 2.1 AA. Technology platforms that do not substantially conform to this standard put schools at risk of not complying with these requirements. </v>
      </c>
      <c r="D48" s="64" t="str">
        <f>VLOOKUP($A48,Questions!$A$3:$X$333,20,0)&amp;""</f>
        <v/>
      </c>
    </row>
    <row r="49" spans="1:5" ht="36" customHeight="1">
      <c r="A49" s="64" t="s">
        <v>108</v>
      </c>
      <c r="B49" s="64" t="str">
        <f>VLOOKUP($A49,Questions!$A$3:$X$333,2,0)&amp;""</f>
        <v>Do you have a documented and implemented process for reporting and tracking accessibility issues?*</v>
      </c>
      <c r="C49" s="64" t="str">
        <f>VLOOKUP($A49,Questions!$A$3:$X$333,19,0)&amp;""</f>
        <v/>
      </c>
      <c r="D49" s="64" t="str">
        <f>VLOOKUP($A49,Questions!$A$3:$X$333,20,0)&amp;""</f>
        <v>What is the prioritization of accessibility issues received, and how are they tracked? Is there a regular cadence for tracking and addressing accessibility barriers?</v>
      </c>
    </row>
    <row r="50" spans="1:5" ht="78.75" customHeight="1">
      <c r="A50" s="64" t="s">
        <v>111</v>
      </c>
      <c r="B50" s="64" t="str">
        <f>VLOOKUP($A50,Questions!$A$3:$X$333,2,0)&amp;""</f>
        <v>Do you have documentation to support the accessibility features of your solution?</v>
      </c>
      <c r="C50" s="64" t="str">
        <f>VLOOKUP($A50,Questions!$A$3:$X$333,19,0)&amp;""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50" s="64" t="str">
        <f>VLOOKUP($A50,Questions!$A$3:$X$333,20,0)&amp;""</f>
        <v>If claims are made about accessibility and there is no supporting documentation on how they can be achieved, ensure that intended configurations and uses of the product in question were assessed for any accessibility documentation or claims.</v>
      </c>
    </row>
    <row r="51" spans="1:5" ht="64.5" customHeight="1">
      <c r="A51" s="64" t="s">
        <v>112</v>
      </c>
      <c r="B51" s="64" t="str">
        <f>VLOOKUP($A51,Questions!$A$3:$X$333,2,0)&amp;""</f>
        <v>Has a third-party expert conducted an audit of the most recent version of your solution?</v>
      </c>
      <c r="C51" s="64" t="str">
        <f>VLOOKUP($A51,Questions!$A$3:$X$333,19,0)&amp;""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51" s="64" t="str">
        <f>VLOOKUP($A51,Questions!$A$3:$X$333,20,0)&amp;""</f>
        <v/>
      </c>
    </row>
    <row r="52" spans="1:5" ht="109.5" customHeight="1">
      <c r="A52" s="64" t="s">
        <v>113</v>
      </c>
      <c r="B52" s="64" t="str">
        <f>VLOOKUP($A52,Questions!$A$3:$X$333,2,0)&amp;""</f>
        <v>Do you have a documented and implemented process for verifying accessibility conformance?</v>
      </c>
      <c r="C52" s="64" t="str">
        <f>VLOOKUP($A52,Questions!$A$3:$X$333,19,0)&amp;""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52" s="64" t="str">
        <f>VLOOKUP($A52,Questions!$A$3:$X$333,20,0)&amp;""</f>
        <v/>
      </c>
    </row>
    <row r="53" spans="1:5" ht="65.25" customHeight="1">
      <c r="A53" s="64" t="s">
        <v>114</v>
      </c>
      <c r="B53" s="64" t="str">
        <f>VLOOKUP($A53,Questions!$A$3:$X$333,2,0)&amp;""</f>
        <v>Have you adopted a technical or legal standard of conformance for the solution?</v>
      </c>
      <c r="C53" s="64" t="str">
        <f>VLOOKUP($A53,Questions!$A$3:$X$333,19,0)&amp;""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53" s="64" t="str">
        <f>VLOOKUP($A53,Questions!$A$3:$X$333,20,0)&amp;""</f>
        <v/>
      </c>
    </row>
    <row r="54" spans="1:5" ht="63.75" customHeight="1">
      <c r="A54" s="64" t="s">
        <v>116</v>
      </c>
      <c r="B54" s="64" t="str">
        <f>VLOOKUP($A54,Questions!$A$3:$X$333,2,0)&amp;""</f>
        <v>Can you provide a current, detailed accessibility roadmap with delivery timelines?</v>
      </c>
      <c r="C54" s="64" t="str">
        <f>VLOOKUP($A54,Questions!$A$3:$X$333,19,0)&amp;""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54" s="64" t="str">
        <f>VLOOKUP($A54,Questions!$A$3:$X$333,20,0)&amp;""</f>
        <v>If no roadmap is available, seek additional information from the solution provider such as release notes that address accessibility and any feedback from users that address the accessibility of the solution.</v>
      </c>
    </row>
    <row r="55" spans="1:5" ht="71.25" customHeight="1">
      <c r="A55" s="64" t="s">
        <v>120</v>
      </c>
      <c r="B55" s="64" t="str">
        <f>VLOOKUP($A55,Questions!$A$3:$X$333,2,0)&amp;""</f>
        <v>Do you expect your staff to maintain a current skill set in IT accessibility?</v>
      </c>
      <c r="C55" s="64" t="str">
        <f>VLOOKUP($A55,Questions!$A$3:$X$333,19,0)&amp;""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55" s="64" t="str">
        <f>VLOOKUP($A55,Questions!$A$3:$X$333,20,0)&amp;""</f>
        <v/>
      </c>
    </row>
    <row r="56" spans="1:5" ht="51" customHeight="1">
      <c r="A56" s="64" t="s">
        <v>123</v>
      </c>
      <c r="B56" s="64" t="str">
        <f>VLOOKUP($A56,Questions!$A$3:$X$333,2,0)&amp;""</f>
        <v>Do you have documented processes and procedures for implementing accessibility into your development lifecycle?</v>
      </c>
      <c r="C56" s="64" t="str">
        <f>VLOOKUP($A56,Questions!$A$3:$X$333,19,0)&amp;""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56" s="64" t="str">
        <f>VLOOKUP($A56,Questions!$A$3:$X$333,20,0)&amp;""</f>
        <v/>
      </c>
    </row>
    <row r="57" spans="1:5" ht="52.5" customHeight="1">
      <c r="A57" s="64" t="s">
        <v>126</v>
      </c>
      <c r="B57" s="64" t="str">
        <f>VLOOKUP($A57,Questions!$A$3:$X$333,2,0)&amp;""</f>
        <v>Can all functions of the application or service be performed using only the keyboard?</v>
      </c>
      <c r="C57" s="64" t="str">
        <f>VLOOKUP($A57,Questions!$A$3:$X$333,19,0)&amp;""</f>
        <v>One critical accessibility requirement is the full use of a product using only the keyboard, -no mouse or trackpad. This requirement is easy for a nontechnical or non-accessibility expert to understand and verify.</v>
      </c>
      <c r="D57" s="64" t="str">
        <f>VLOOKUP($A57,Questions!$A$3:$X$333,20,0)&amp;""</f>
        <v>To confirm keyboard-only claims, follow the how-to at Minimum Expectations for applications webpage &lt;https://go.iu.edu/minimum-expectations&gt; from Indiana University or reference WebAIM’s Keyboard Testing guidance &lt;https://webaim.org/techniques/keyboard/#testing&gt;.</v>
      </c>
    </row>
    <row r="58" spans="1:5" ht="75">
      <c r="A58" s="64" t="s">
        <v>129</v>
      </c>
      <c r="B58" s="64" t="str">
        <f>VLOOKUP($A58,Questions!$A$3:$X$333,2,0)&amp;""</f>
        <v>Does your product rely on activating a special "accessibility mode," a "lite version," or using an alternate interface (including “overlay” or AI-based alternates)  for accessibility purposes?</v>
      </c>
      <c r="C58" s="64" t="str">
        <f>VLOOKUP($A58,Questions!$A$3:$X$333,19,0)&amp;""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58" s="64" t="str">
        <f>VLOOKUP($A58,Questions!$A$3:$X$333,20,0)&amp;""</f>
        <v/>
      </c>
      <c r="E58" s="258" t="s">
        <v>1536</v>
      </c>
    </row>
    <row r="59" spans="1:5" ht="19">
      <c r="A59" s="70" t="str">
        <f>VLOOKUP(LEFT($A60,4),'Auto Responses'!$N$4:$O$38,2,0)&amp;""</f>
        <v xml:space="preserve"> Assessment of Third Parties</v>
      </c>
      <c r="B59" s="70"/>
      <c r="C59" s="63" t="str">
        <f>Questions!$S$2</f>
        <v>Reason for Question</v>
      </c>
      <c r="D59" s="63" t="str">
        <f>Questions!$T$2</f>
        <v>Follow-Up Inquiries/Responses</v>
      </c>
    </row>
    <row r="60" spans="1:5" ht="65.25" customHeight="1">
      <c r="A60" s="64" t="s">
        <v>130</v>
      </c>
      <c r="B60" s="64" t="str">
        <f>VLOOKUP($A60,Questions!$A$3:$X$333,2,0)&amp;""</f>
        <v>Do you perform security assessments of third-party companies with which you share data (e.g., hosting providers, cloud services, PaaS, IaaS, SaaS)?*</v>
      </c>
      <c r="C60" s="64" t="str">
        <f>VLOOKUP($A60,Questions!$A$3:$X$333,19,0)&amp;""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0" s="64" t="str">
        <f>VLOOKUP($A60,Questions!$A$3:$X$333,20,0)&amp;""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1" spans="1:5" ht="52.5" customHeight="1">
      <c r="A61" s="64" t="s">
        <v>134</v>
      </c>
      <c r="B61" s="64" t="str">
        <f>VLOOKUP($A61,Questions!$A$3:$X$333,2,0)&amp;""</f>
        <v>Do you have contractual language in place with third parties governing access to institutional data?*</v>
      </c>
      <c r="C61" s="64" t="str">
        <f>VLOOKUP($A61,Questions!$A$3:$X$333,19,0)&amp;""</f>
        <v>The sharing of institutional data to fourth-parties may increase the risk to the institutation and thus, we want to know who gets what data, when they get that data, and why they get that data.</v>
      </c>
      <c r="D61" s="64" t="str">
        <f>VLOOKUP($A61,Questions!$A$3:$X$333,20,0)&amp;""</f>
        <v>Follow-up inquiries concerning third-party data sharing will be institution/implementation specific.</v>
      </c>
    </row>
    <row r="62" spans="1:5" ht="36" customHeight="1">
      <c r="A62" s="64" t="s">
        <v>137</v>
      </c>
      <c r="B62" s="64" t="str">
        <f>VLOOKUP($A62,Questions!$A$3:$X$333,2,0)&amp;""</f>
        <v>Do the contracts in place with these third parties address liability in the event of a data breach?*</v>
      </c>
      <c r="C62" s="64" t="str">
        <f>VLOOKUP($A62,Questions!$A$3:$X$333,19,0)&amp;""</f>
        <v>Knowing the protections and legal agreements in place for third-party data sharing may assist analysts in determininng residual risk.</v>
      </c>
      <c r="D62" s="64" t="str">
        <f>VLOOKUP($A62,Questions!$A$3:$X$333,20,0)&amp;""</f>
        <v>Follow-up inquiries concerning legal agreements with third parties will be institution/implementation specific.</v>
      </c>
    </row>
    <row r="63" spans="1:5" ht="131.25" customHeight="1">
      <c r="A63" s="64" t="s">
        <v>138</v>
      </c>
      <c r="B63" s="64" t="str">
        <f>VLOOKUP($A63,Questions!$A$3:$X$333,2,0)&amp;""</f>
        <v>Do you have an implemented third-party management strategy?*</v>
      </c>
      <c r="C63" s="64" t="str">
        <f>VLOOKUP($A63,Questions!$A$3:$X$333,19,0)&amp;""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63" s="64" t="str">
        <f>VLOOKUP($A63,Questions!$A$3:$X$333,20,0)&amp;""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64" spans="1:5" ht="75" customHeight="1">
      <c r="A64" s="64" t="s">
        <v>141</v>
      </c>
      <c r="B64" s="64" t="str">
        <f>VLOOKUP($A64,Questions!$A$3:$X$333,2,0)&amp;""</f>
        <v>Do you have a process and implemented procedures for managing your hardware supply chain (e.g., telecommunications equipment, export licensing, computing devices)?</v>
      </c>
      <c r="C64" s="64" t="str">
        <f>VLOOKUP($A64,Questions!$A$3:$X$333,19,0)&amp;""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64" s="64" t="str">
        <f>VLOOKUP($A64,Questions!$A$3:$X$333,20,0)&amp;""</f>
        <v>Follow-up inquiries concerning hardware supply chain will be institution/implementation specific.</v>
      </c>
      <c r="E64" s="258" t="s">
        <v>1536</v>
      </c>
    </row>
    <row r="65" spans="1:5" ht="19">
      <c r="A65" s="70" t="str">
        <f>VLOOKUP(LEFT($A66,4),'Auto Responses'!$N$4:$O$38,2,0)&amp;""</f>
        <v xml:space="preserve"> Consulting Services</v>
      </c>
      <c r="B65" s="70"/>
      <c r="C65" s="63" t="str">
        <f>Questions!$S$2</f>
        <v>Reason for Question</v>
      </c>
      <c r="D65" s="63" t="str">
        <f>Questions!$T$2</f>
        <v>Follow-Up Inquiries/Responses</v>
      </c>
    </row>
    <row r="66" spans="1:5" ht="65.25" customHeight="1">
      <c r="A66" s="64" t="s">
        <v>146</v>
      </c>
      <c r="B66" s="64" t="str">
        <f>VLOOKUP($A66,Questions!$A$3:$X$333,2,0)&amp;""</f>
        <v>Will the consultant require access to the institution's network resources?*</v>
      </c>
      <c r="C66" s="64" t="str">
        <f>VLOOKUP($A66,Questions!$A$3:$X$333,19,0)&amp;""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6" s="64" t="str">
        <f>VLOOKUP($A66,Questions!$A$3:$X$333,20,0)&amp;""</f>
        <v>Follow-up inquiries will be institution/implementation specific.</v>
      </c>
    </row>
    <row r="67" spans="1:5" ht="66.75" customHeight="1">
      <c r="A67" s="64" t="s">
        <v>150</v>
      </c>
      <c r="B67" s="64" t="str">
        <f>VLOOKUP($A67,Questions!$A$3:$X$333,2,0)&amp;""</f>
        <v>Has the consultant received training on (sensitive, HIPAA, PCI, etc.) data handling?*</v>
      </c>
      <c r="C67" s="64" t="str">
        <f>VLOOKUP($A67,Questions!$A$3:$X$333,19,0)&amp;""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7" s="64" t="str">
        <f>VLOOKUP($A67,Questions!$A$3:$X$333,20,0)&amp;""</f>
        <v>Follow-up inquiries will be institution/implementation specific.</v>
      </c>
    </row>
    <row r="68" spans="1:5" ht="68.25" customHeight="1">
      <c r="A68" s="64" t="s">
        <v>151</v>
      </c>
      <c r="B68" s="64" t="str">
        <f>VLOOKUP($A68,Questions!$A$3:$X$333,2,0)&amp;""</f>
        <v>Is the data encrypted (at rest) while in the consultant's possession?*</v>
      </c>
      <c r="C68" s="64" t="str">
        <f>VLOOKUP($A68,Questions!$A$3:$X$333,19,0)&amp;""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8" s="64" t="str">
        <f>VLOOKUP($A68,Questions!$A$3:$X$333,20,0)&amp;""</f>
        <v>Follow-up inquiries will be institution/implementation specific.</v>
      </c>
    </row>
    <row r="69" spans="1:5" ht="65.25" customHeight="1">
      <c r="A69" s="64" t="s">
        <v>153</v>
      </c>
      <c r="B69" s="64" t="str">
        <f>VLOOKUP($A69,Questions!$A$3:$X$333,2,0)&amp;""</f>
        <v>Can access be restricted based on source IP address?*</v>
      </c>
      <c r="C69" s="64" t="str">
        <f>VLOOKUP($A69,Questions!$A$3:$X$333,19,0)&amp;""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9" s="64" t="str">
        <f>VLOOKUP($A69,Questions!$A$3:$X$333,20,0)&amp;""</f>
        <v>Follow-up inquiries will be institution/implementation specific.</v>
      </c>
    </row>
    <row r="70" spans="1:5" ht="71.25" customHeight="1">
      <c r="A70" s="64" t="s">
        <v>155</v>
      </c>
      <c r="B70" s="64" t="str">
        <f>VLOOKUP($A70,Questions!$A$3:$X$333,2,0)&amp;""</f>
        <v>Will the consulting take place on-premises?</v>
      </c>
      <c r="C70" s="64" t="str">
        <f>VLOOKUP($A70,Questions!$A$3:$X$333,19,0)&amp;""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0" s="64" t="str">
        <f>VLOOKUP($A70,Questions!$A$3:$X$333,20,0)&amp;""</f>
        <v>Follow-up inquiries will be institution/implementation specific.</v>
      </c>
    </row>
    <row r="71" spans="1:5" ht="71.25" customHeight="1">
      <c r="A71" s="64" t="s">
        <v>156</v>
      </c>
      <c r="B71" s="64" t="str">
        <f>VLOOKUP($A71,Questions!$A$3:$X$333,2,0)&amp;""</f>
        <v>Will the consultant require access to hardware in the institution's data centers?</v>
      </c>
      <c r="C71" s="64" t="str">
        <f>VLOOKUP($A71,Questions!$A$3:$X$333,19,0)&amp;""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1" s="64" t="str">
        <f>VLOOKUP($A71,Questions!$A$3:$X$333,20,0)&amp;""</f>
        <v>Follow-up inquiries will be institution/implementation specific.</v>
      </c>
    </row>
    <row r="72" spans="1:5" s="66" customFormat="1" ht="67.5" customHeight="1">
      <c r="A72" s="64" t="s">
        <v>159</v>
      </c>
      <c r="B72" s="64" t="str">
        <f>VLOOKUP($A72,Questions!$A$3:$X$333,2,0)&amp;""</f>
        <v>Will the consultant require an account within the institution's domain (@*.edu)?</v>
      </c>
      <c r="C72" s="64" t="str">
        <f>VLOOKUP($A72,Questions!$A$3:$X$333,19,0)&amp;""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2" s="64" t="str">
        <f>VLOOKUP($A72,Questions!$A$3:$X$333,20,0)&amp;""</f>
        <v>Follow-up inquiries will be institution/implementation specific.</v>
      </c>
    </row>
    <row r="73" spans="1:5" ht="69" customHeight="1">
      <c r="A73" s="64" t="s">
        <v>160</v>
      </c>
      <c r="B73" s="64" t="str">
        <f>VLOOKUP($A73,Questions!$A$3:$X$333,2,0)&amp;""</f>
        <v>Will any data be transferred to the consultant's possession?</v>
      </c>
      <c r="C73" s="64" t="str">
        <f>VLOOKUP($A73,Questions!$A$3:$X$333,19,0)&amp;""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3" s="64" t="str">
        <f>VLOOKUP($A73,Questions!$A$3:$X$333,20,0)&amp;""</f>
        <v>Follow-up inquiries will be institution/implementation specific.</v>
      </c>
    </row>
    <row r="74" spans="1:5" s="66" customFormat="1" ht="70.5" customHeight="1">
      <c r="A74" s="64" t="s">
        <v>163</v>
      </c>
      <c r="B74" s="64" t="str">
        <f>VLOOKUP($A74,Questions!$A$3:$X$333,2,0)&amp;""</f>
        <v>Will the consultant need remote access to the institution's network or systems?</v>
      </c>
      <c r="C74" s="64" t="str">
        <f>VLOOKUP($A74,Questions!$A$3:$X$333,19,0)&amp;""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4" s="64" t="str">
        <f>VLOOKUP($A74,Questions!$A$3:$X$333,20,0)&amp;""</f>
        <v>Follow-up inquiries will be institution/implementation specific.</v>
      </c>
      <c r="E74" s="258" t="s">
        <v>1536</v>
      </c>
    </row>
    <row r="75" spans="1:5" ht="19">
      <c r="A75" s="70" t="str">
        <f>VLOOKUP(LEFT($A76,4),'Auto Responses'!$N$4:$O$38,2,0)&amp;""</f>
        <v xml:space="preserve"> Application/Service Security</v>
      </c>
      <c r="B75" s="70"/>
      <c r="C75" s="63" t="str">
        <f>Questions!$S$2</f>
        <v>Reason for Question</v>
      </c>
      <c r="D75" s="63" t="str">
        <f>Questions!$T$2</f>
        <v>Follow-Up Inquiries/Responses</v>
      </c>
    </row>
    <row r="76" spans="1:5" ht="79.5" customHeight="1">
      <c r="A76" s="71" t="s">
        <v>164</v>
      </c>
      <c r="B76" s="64" t="str">
        <f>VLOOKUP($A76,Questions!$A$3:$X$333,2,0)&amp;""</f>
        <v>Are access controls for institutional accounts based on structured rules, such as role-based access control (RBAC), attribute-based access control (ABAC), or policy-based access control (PBAC)?*</v>
      </c>
      <c r="C76" s="64" t="str">
        <f>VLOOKUP($A76,Questions!$A$3:$X$333,19,0)&amp;""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76" s="64" t="str">
        <f>VLOOKUP($A76,Questions!$A$3:$X$333,20,0)&amp;""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77" spans="1:5" ht="85.5" customHeight="1">
      <c r="A77" s="64" t="s">
        <v>169</v>
      </c>
      <c r="B77" s="64" t="str">
        <f>VLOOKUP($A77,Questions!$A$3:$X$333,2,0)&amp;""</f>
        <v>Are you using a web application firewall (WAF)?*</v>
      </c>
      <c r="C77" s="64" t="str">
        <f>VLOOKUP($A77,Questions!$A$3:$X$333,19,0)&amp;""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77" s="64" t="str">
        <f>VLOOKUP($A77,Questions!$A$3:$X$333,20,0)&amp;""</f>
        <v>If a solution provider states that they outsource their code development and do not run a WAF, there is elevated reason for concern. Verify how code is tested, monitored, and controlled in production environments.</v>
      </c>
    </row>
    <row r="78" spans="1:5" ht="70.5" customHeight="1">
      <c r="A78" s="64" t="s">
        <v>173</v>
      </c>
      <c r="B78" s="64" t="str">
        <f>VLOOKUP($A78,Questions!$A$3:$X$333,2,0)&amp;""</f>
        <v>Are only currently supported operating system(s), software, and libraries leveraged by the system(s)/application(s) that will have access to institution's data?*</v>
      </c>
      <c r="C78" s="64" t="str">
        <f>VLOOKUP($A78,Questions!$A$3:$X$333,19,0)&amp;""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78" s="64" t="str">
        <f>VLOOKUP($A78,Questions!$A$3:$X$333,20,0)&amp;""</f>
        <v>Follow-up inquiries for operating systems leveraged by the solution provider will be institution/implementation specific.</v>
      </c>
    </row>
    <row r="79" spans="1:5" ht="45.75" customHeight="1">
      <c r="A79" s="64" t="s">
        <v>178</v>
      </c>
      <c r="B79" s="64" t="str">
        <f>VLOOKUP($A79,Questions!$A$3:$X$333,2,0)&amp;""</f>
        <v>Does your application require access to location or GPS data?</v>
      </c>
      <c r="C79" s="64" t="str">
        <f>VLOOKUP($A79,Questions!$A$3:$X$333,19,0)&amp;""</f>
        <v>Sharing location data significantly increases risk factors for users. It's important to understand if this is required.</v>
      </c>
      <c r="D79" s="64" t="str">
        <f>VLOOKUP($A79,Questions!$A$3:$X$333,20,0)&amp;""</f>
        <v>Ask the solution provider about the need for this requirement, and understand any mitigation strategies that may be possible.</v>
      </c>
    </row>
    <row r="80" spans="1:5" ht="85.5" customHeight="1">
      <c r="A80" s="64" t="s">
        <v>181</v>
      </c>
      <c r="B80" s="64" t="str">
        <f>VLOOKUP($A80,Questions!$A$3:$X$333,2,0)&amp;""</f>
        <v>Does your application provide separation of duties between security administration, system administration, and standard user functions?*</v>
      </c>
      <c r="C80" s="64" t="str">
        <f>VLOOKUP($A80,Questions!$A$3:$X$333,19,0)&amp;""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80" s="64" t="str">
        <f>VLOOKUP($A80,Questions!$A$3:$X$333,20,0)&amp;""</f>
        <v>Ask the solution provider to summarize their best practices for securing their system(s) administratively without the use of RBAC. Make sure to understand the administrative requirements/overhead introduced in the solution provider's environment.</v>
      </c>
    </row>
    <row r="81" spans="1:5" ht="82.5" customHeight="1">
      <c r="A81" s="64" t="s">
        <v>186</v>
      </c>
      <c r="B81" s="64" t="str">
        <f>VLOOKUP($A81,Questions!$A$3:$X$333,2,0)&amp;""</f>
        <v>Do you subject your code to static code analysis and/or static application security testing prior to release?*</v>
      </c>
      <c r="C81" s="64" t="str">
        <f>VLOOKUP($A81,Questions!$A$3:$X$333,19,0)&amp;""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81" s="64" t="str">
        <f>VLOOKUP($A81,Questions!$A$3:$X$333,20,0)&amp;""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82" spans="1:5" s="66" customFormat="1" ht="53.25" customHeight="1">
      <c r="A82" s="64" t="s">
        <v>190</v>
      </c>
      <c r="B82" s="64" t="str">
        <f>VLOOKUP($A82,Questions!$A$3:$X$333,2,0)&amp;""</f>
        <v>Do you have software testing processes (dynamic or static) that are established and followed?*</v>
      </c>
      <c r="C82" s="64" t="str">
        <f>VLOOKUP($A82,Questions!$A$3:$X$333,19,0)&amp;""</f>
        <v>Code analysis (prior to implementation) can decrease the number of vulnerabilities within a system. Depending on the insight a solution provider has into their code, code testing should be expected.</v>
      </c>
      <c r="D82" s="64" t="str">
        <f>VLOOKUP($A82,Questions!$A$3:$X$333,20,0)&amp;""</f>
        <v>If software testing processes are not established and followed, point the solution provider to OWASP's Testing Guide &lt;https://www.owasp.org/index.php/OWASP_Testing_Guide_v4_Table_of_Contents&gt;.</v>
      </c>
    </row>
    <row r="83" spans="1:5" ht="80.25" customHeight="1">
      <c r="A83" s="64" t="s">
        <v>196</v>
      </c>
      <c r="B83" s="64" t="str">
        <f>VLOOKUP($A83,Questions!$A$3:$X$333,2,0)&amp;""</f>
        <v>Are access controls for staff within your organization based on structured rules, such as RBAC, ABAC, or PBAC?</v>
      </c>
      <c r="C83" s="64" t="str">
        <f>VLOOKUP($A83,Questions!$A$3:$X$333,19,0)&amp;""</f>
        <v>Managing a solution may rely on various professionals to administer a system. This question is focused on how administration, and the segregation of functions, is implemented within the solution provider's infrastructure.</v>
      </c>
      <c r="D83" s="64" t="str">
        <f>VLOOKUP($A83,Questions!$A$3:$X$333,20,0)&amp;""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84" spans="1:5" ht="88.5" customHeight="1">
      <c r="A84" s="64" t="s">
        <v>201</v>
      </c>
      <c r="B84" s="64" t="str">
        <f>VLOOKUP($A84,Questions!$A$3:$X$333,2,0)&amp;""</f>
        <v>Does the system provide data input validation and error messages?</v>
      </c>
      <c r="C84" s="64" t="str">
        <f>VLOOKUP($A84,Questions!$A$3:$X$333,19,0)&amp;""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84" s="64" t="str">
        <f>VLOOKUP($A84,Questions!$A$3:$X$333,20,0)&amp;""</f>
        <v>Inquire about any planned improvements to these capabilities. Ask about their product roadmap, and try to understand how they prioritize security concerns in their environment.</v>
      </c>
    </row>
    <row r="85" spans="1:5" ht="84.75" customHeight="1">
      <c r="A85" s="64" t="s">
        <v>204</v>
      </c>
      <c r="B85" s="64" t="str">
        <f>VLOOKUP($A85,Questions!$A$3:$X$333,2,0)&amp;""</f>
        <v>Do you have a process and implemented procedures for managing your software supply chain (e.g., libraries, repositories, frameworks, etc.)</v>
      </c>
      <c r="C85" s="64" t="str">
        <f>VLOOKUP($A85,Questions!$A$3:$X$333,19,0)&amp;""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85" s="64" t="str">
        <f>VLOOKUP($A85,Questions!$A$3:$X$333,20,0)&amp;""</f>
        <v>Follow-up inquiries concerning software supply chain will be institution/implementation specific.</v>
      </c>
      <c r="E85" s="58"/>
    </row>
    <row r="86" spans="1:5" ht="67.5" customHeight="1">
      <c r="A86" s="64" t="s">
        <v>208</v>
      </c>
      <c r="B86" s="64" t="str">
        <f>VLOOKUP($A86,Questions!$A$3:$X$333,2,0)&amp;""</f>
        <v>Have your developers been trained in secure coding techniques?</v>
      </c>
      <c r="C86" s="64" t="str">
        <f>VLOOKUP($A86,Questions!$A$3:$X$333,19,0)&amp;""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6" s="64" t="str">
        <f>VLOOKUP($A86,Questions!$A$3:$X$333,20,0)&amp;""</f>
        <v>If information security principles are not designed into the product lifecycle, point the solution provider to OWASP's Secure Coding Practices - Quick Reference Guide &lt;https://www.owasp.org/index.php/OWASP_Secure_Coding_Practices_-_Quick_Reference_Guide&gt;.</v>
      </c>
      <c r="E86" s="65"/>
    </row>
    <row r="87" spans="1:5" ht="72.75" customHeight="1">
      <c r="A87" s="64" t="s">
        <v>212</v>
      </c>
      <c r="B87" s="64" t="str">
        <f>VLOOKUP($A87,Questions!$A$3:$X$333,2,0)&amp;""</f>
        <v>Was your application developed using secure coding techniques?</v>
      </c>
      <c r="C87" s="64" t="str">
        <f>VLOOKUP($A87,Questions!$A$3:$X$333,19,0)&amp;""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7" s="64" t="str">
        <f>VLOOKUP($A87,Questions!$A$3:$X$333,20,0)&amp;""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88" spans="1:5" ht="58.5" customHeight="1">
      <c r="A88" s="64" t="s">
        <v>216</v>
      </c>
      <c r="B88" s="64" t="str">
        <f>VLOOKUP($A88,Questions!$A$3:$X$333,2,0)&amp;""</f>
        <v>If mobile, is the application available from a trusted source (e.g., App Store, Google Play Store)?</v>
      </c>
      <c r="C88" s="64" t="str">
        <f>VLOOKUP($A88,Questions!$A$3:$X$333,19,0)&amp;""</f>
        <v>Distributing application via known, moderately vetted application platform decreases the chances of malicious code distribution. Stand-alone deployments (nontrusted sources) should be looked at more closely.</v>
      </c>
      <c r="D88" s="64" t="str">
        <f>VLOOKUP($A88,Questions!$A$3:$X$333,20,0)&amp;""</f>
        <v>Ask the solution provider why this deployment strategy is used. Ask if it is a restriction of the app store platform or some other environment restriction.</v>
      </c>
    </row>
    <row r="89" spans="1:5" ht="65.25" customHeight="1">
      <c r="A89" s="64" t="s">
        <v>219</v>
      </c>
      <c r="B89" s="64" t="str">
        <f>VLOOKUP($A89,Questions!$A$3:$X$333,2,0)&amp;""</f>
        <v>Do you have a fully implemented policy or procedure that details how your employees obtain administrator access to institutional instance of the application?</v>
      </c>
      <c r="C89" s="64" t="str">
        <f>VLOOKUP($A89,Questions!$A$3:$X$333,19,0)&amp;""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89" s="64" t="str">
        <f>VLOOKUP($A89,Questions!$A$3:$X$333,20,0)&amp;""</f>
        <v>Ask the solution provider to summarize their implemented policies and/or procedures</v>
      </c>
      <c r="E89" s="258" t="s">
        <v>1536</v>
      </c>
    </row>
    <row r="90" spans="1:5" ht="19">
      <c r="A90" s="70" t="str">
        <f>VLOOKUP(LEFT($A91,4),'Auto Responses'!$N$4:$O$38,2,0)&amp;""</f>
        <v xml:space="preserve"> Authentication, Authorization, and Account Management</v>
      </c>
      <c r="B90" s="70"/>
      <c r="C90" s="63" t="str">
        <f>Questions!$S$2</f>
        <v>Reason for Question</v>
      </c>
      <c r="D90" s="63" t="str">
        <f>Questions!$T$2</f>
        <v>Follow-Up Inquiries/Responses</v>
      </c>
    </row>
    <row r="91" spans="1:5" ht="66.75" customHeight="1">
      <c r="A91" s="64" t="s">
        <v>222</v>
      </c>
      <c r="B91" s="64" t="str">
        <f>VLOOKUP($A91,Questions!$A$3:$X$333,2,0)&amp;""</f>
        <v>Does your solution support single sign-on (SSO) protocols for user and administrator authentication?*</v>
      </c>
      <c r="C91" s="64" t="str">
        <f>VLOOKUP($A91,Questions!$A$3:$X$333,19,0)&amp;""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1" s="64" t="str">
        <f>VLOOKUP($A91,Questions!$A$3:$X$333,20,0)&amp;""</f>
        <v>Follow-up inquiries for IAM requirements will be institution/implementation specific.</v>
      </c>
    </row>
    <row r="92" spans="1:5" ht="46.5" customHeight="1">
      <c r="A92" s="64" t="s">
        <v>227</v>
      </c>
      <c r="B92" s="64" t="str">
        <f>VLOOKUP($A92,Questions!$A$3:$X$333,2,0)&amp;""</f>
        <v>For customers not using SSO, does your solution support local authentication protocols for user and administrator authentication?*</v>
      </c>
      <c r="C92" s="64" t="str">
        <f>VLOOKUP($A92,Questions!$A$3:$X$333,19,0)&amp;""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92" s="64" t="str">
        <f>VLOOKUP($A92,Questions!$A$3:$X$333,20,0)&amp;""</f>
        <v>The content of this response may or may not have value for the type of use case on the institution. Follow-up inquiries for authentication modes will be institution/implementation specific.</v>
      </c>
    </row>
    <row r="93" spans="1:5" ht="31.5" customHeight="1">
      <c r="A93" s="64" t="s">
        <v>231</v>
      </c>
      <c r="B93" s="64" t="str">
        <f>VLOOKUP($A93,Questions!$A$3:$X$333,2,0)&amp;""</f>
        <v>For customers not using SSO, can you enforce password/passphrase complexity requirements (provided by the institution)?*</v>
      </c>
      <c r="C93" s="64" t="str">
        <f>VLOOKUP($A93,Questions!$A$3:$X$333,19,0)&amp;""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3" s="64" t="str">
        <f>VLOOKUP($A93,Questions!$A$3:$X$333,20,0)&amp;""</f>
        <v>Follow-up inquiries for password/passphrase complexity requirements will be institution/implementation specific.</v>
      </c>
    </row>
    <row r="94" spans="1:5" ht="42" customHeight="1">
      <c r="A94" s="64" t="s">
        <v>232</v>
      </c>
      <c r="B94" s="64" t="str">
        <f>VLOOKUP($A94,Questions!$A$3:$X$333,2,0)&amp;""</f>
        <v>For customers not using SSO, does the system have password complexity or length limitations and/or restrictions?*</v>
      </c>
      <c r="C94" s="64" t="str">
        <f>VLOOKUP($A94,Questions!$A$3:$X$333,19,0)&amp;""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4" s="64" t="str">
        <f>VLOOKUP($A94,Questions!$A$3:$X$333,20,0)&amp;""</f>
        <v>Follow-up inquiries for password/passphrase limitations and/or restrictions will be institution/implementation specific.</v>
      </c>
    </row>
    <row r="95" spans="1:5" ht="57" customHeight="1">
      <c r="A95" s="64" t="s">
        <v>236</v>
      </c>
      <c r="B95" s="64" t="str">
        <f>VLOOKUP($A95,Questions!$A$3:$X$333,2,0)&amp;""</f>
        <v>For customers not using SSO, do you have documented password/passphrase reset procedures that are currently implemented in the system and/or customer support?*</v>
      </c>
      <c r="C95" s="64" t="str">
        <f>VLOOKUP($A95,Questions!$A$3:$X$333,19,0)&amp;""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95" s="64" t="str">
        <f>VLOOKUP($A95,Questions!$A$3:$X$333,20,0)&amp;""</f>
        <v>Ask the solution provider how end users will be supported. Ask for training documentation or knowledgebase content. Confirm solution provider and institution responsibilities in this support area (and others).</v>
      </c>
    </row>
    <row r="96" spans="1:5" ht="50.25" customHeight="1">
      <c r="A96" s="64" t="s">
        <v>239</v>
      </c>
      <c r="B96" s="64" t="str">
        <f>VLOOKUP($A96,Questions!$A$3:$X$333,2,0)&amp;""</f>
        <v>Does your organization participate in InCommon or another eduGAIN-affiliated trust federation?*</v>
      </c>
      <c r="C96" s="64" t="str">
        <f>VLOOKUP($A96,Questions!$A$3:$X$333,19,0)&amp;""</f>
        <v>This question defines the solution provider's scope of federated identity practices and their willingness to embrace higher education requirements.</v>
      </c>
      <c r="D96" s="64" t="str">
        <f>VLOOKUP($A96,Questions!$A$3:$X$333,20,0)&amp;""</f>
        <v>If a solution provider indicates that a system is stand-alone and cannot integrate with community standards, follow up with maturity questions and ask about other commodity type functions or other system requirements your institution may have.</v>
      </c>
    </row>
    <row r="97" spans="1:5" ht="51" customHeight="1">
      <c r="A97" s="64" t="s">
        <v>242</v>
      </c>
      <c r="B97" s="64" t="str">
        <f>VLOOKUP($A97,Questions!$A$3:$X$333,2,0)&amp;""</f>
        <v>Are there any passwords/passphrases hard-coded into your systems or solutions?*</v>
      </c>
      <c r="C97" s="64" t="str">
        <f>VLOOKUP($A97,Questions!$A$3:$X$333,19,0)&amp;""</f>
        <v>The response to this question can reveal the use (or not) of coding best practices. If passwords/passphrases are hard-coded into systems/productions, the solution provider should provide robust details supporting why this is required.</v>
      </c>
      <c r="D97" s="64" t="str">
        <f>VLOOKUP($A97,Questions!$A$3:$X$333,20,0)&amp;""</f>
        <v>Vague responses to this question should be met with concern. Repeat the question if the first answer is insufficient. Ask pointedly to ensure the solution provider is not misunderstanding.</v>
      </c>
    </row>
    <row r="98" spans="1:5" ht="35.25" customHeight="1">
      <c r="A98" s="64" t="s">
        <v>245</v>
      </c>
      <c r="B98" s="64" t="str">
        <f>VLOOKUP($A98,Questions!$A$3:$X$333,2,0)&amp;""</f>
        <v>Are you storing any passwords in plaintext?*</v>
      </c>
      <c r="C98" s="64" t="str">
        <f>VLOOKUP($A98,Questions!$A$3:$X$333,19,0)&amp;""</f>
        <v>The focus of this question is confidentiality. It is a straightforward question confirming the encryption of user authentication details.</v>
      </c>
      <c r="D98" s="64" t="str">
        <f>VLOOKUP($A98,Questions!$A$3:$X$333,20,0)&amp;""</f>
        <v>Follow-up inquiries for password/passphrase encrypted storage will be institution/implementation specific.</v>
      </c>
    </row>
    <row r="99" spans="1:5" ht="72.75" customHeight="1">
      <c r="A99" s="64" t="s">
        <v>248</v>
      </c>
      <c r="B99" s="64" t="str">
        <f>VLOOKUP($A99,Questions!$A$3:$X$333,2,0)&amp;""</f>
        <v>Are audit logs available that include AT LEAST all of the following: login, logout, actions performed, and source IP address?*</v>
      </c>
      <c r="C99" s="64"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64"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c r="A100" s="64" t="s">
        <v>251</v>
      </c>
      <c r="B100" s="64"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64"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64"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c r="A101" s="64" t="s">
        <v>255</v>
      </c>
      <c r="B101" s="64" t="str">
        <f>VLOOKUP($A101,Questions!$A$3:$X$333,2,0)&amp;""</f>
        <v>Can you provide the institution documentation regarding the retention period for those logs, how logs are protected, and whether they are accessible to the customer (and if so, how)?*</v>
      </c>
      <c r="C101" s="64"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64" t="str">
        <f>VLOOKUP($A101,Questions!$A$3:$X$333,20,0)&amp;""</f>
        <v>Follow-up inquiries for logging details will be institution/implementation specific.</v>
      </c>
    </row>
    <row r="102" spans="1:5" ht="69" customHeight="1">
      <c r="A102" s="64" t="s">
        <v>259</v>
      </c>
      <c r="B102" s="64" t="str">
        <f>VLOOKUP($A102,Questions!$A$3:$X$333,2,0)&amp;""</f>
        <v>For customers not using SSO, does your application support integration with other authentication and authorization systems?</v>
      </c>
      <c r="C102" s="64"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64"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c r="A103" s="64" t="s">
        <v>261</v>
      </c>
      <c r="B103" s="64" t="str">
        <f>VLOOKUP($A103,Questions!$A$3:$X$333,2,0)&amp;""</f>
        <v>Do you allow the customer to specify attribute mappings for any needed information beyond a user identifier? (e.g., Reference eduPerson, ePPA/ePPN/ePE)</v>
      </c>
      <c r="C103" s="64" t="str">
        <f>VLOOKUP($A103,Questions!$A$3:$X$333,19,0)&amp;""</f>
        <v>This questions allows an institution to know solution provider system limitations and to help them gauge the resources (that may be needed to implement) required to successfully integrate the solution with institution systems.</v>
      </c>
      <c r="D103" s="64" t="str">
        <f>VLOOKUP($A103,Questions!$A$3:$X$333,20,0)&amp;""</f>
        <v>Follow-up inquiries for attribute mapping requirements will be institution/implementation specific.</v>
      </c>
      <c r="E103" s="58"/>
    </row>
    <row r="104" spans="1:5" ht="63.75" customHeight="1">
      <c r="A104" s="64" t="s">
        <v>266</v>
      </c>
      <c r="B104" s="64" t="str">
        <f>VLOOKUP($A104,Questions!$A$3:$X$333,2,0)&amp;""</f>
        <v>For customers not using SSO, does your application support directory integration for user accounts?</v>
      </c>
      <c r="C104" s="64"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64" t="str">
        <f>VLOOKUP($A104,Questions!$A$3:$X$333,20,0)&amp;""</f>
        <v>Follow-up inquiries for system authentication will be unique to your institution (e.g., policy, infrastructure, etc.).</v>
      </c>
    </row>
    <row r="105" spans="1:5" ht="67.5" customHeight="1">
      <c r="A105" s="64" t="s">
        <v>267</v>
      </c>
      <c r="B105" s="64" t="str">
        <f>VLOOKUP($A105,Questions!$A$3:$X$333,2,0)&amp;""</f>
        <v>Does your solution support any of the following web SSO standards: SAML2 (with redirect flow), OIDC, CAS, or other?</v>
      </c>
      <c r="C105" s="64"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64" t="str">
        <f>VLOOKUP($A105,Questions!$A$3:$X$333,20,0)&amp;""</f>
        <v>Follow-up inquiries for IAM requirements will be institution/implementation specific.</v>
      </c>
    </row>
    <row r="106" spans="1:5" ht="52.5" customHeight="1">
      <c r="A106" s="64" t="s">
        <v>271</v>
      </c>
      <c r="B106" s="64" t="str">
        <f>VLOOKUP($A106,Questions!$A$3:$X$333,2,0)&amp;""</f>
        <v>Do you support differentiation between email address and user identifier?</v>
      </c>
      <c r="C106" s="64" t="str">
        <f>VLOOKUP($A106,Questions!$A$3:$X$333,19,0)&amp;""</f>
        <v>This questions allows an institution to know solution provider system limitations and to help them gauge the resources (that may be needed to implement) required to successfully integrate the solution with institution systems.</v>
      </c>
      <c r="D106" s="64" t="str">
        <f>VLOOKUP($A106,Questions!$A$3:$X$333,20,0)&amp;""</f>
        <v>Follow-up inquiries for identifier requirements will be institution/implementation specific.</v>
      </c>
    </row>
    <row r="107" spans="1:5" ht="54" customHeight="1">
      <c r="A107" s="64" t="s">
        <v>274</v>
      </c>
      <c r="B107" s="64" t="str">
        <f>VLOOKUP($A107,Questions!$A$3:$X$333,2,0)&amp;""</f>
        <v>For customers not using SSO, does your application and/or user frontend/portal support multifactor authentication (e.g., Duo, Google Authenticator, OTP, etc.)?</v>
      </c>
      <c r="C107" s="64"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64" t="str">
        <f>VLOOKUP($A107,Questions!$A$3:$X$333,20,0)&amp;""</f>
        <v>Ask the solution provider about hardware and software options, future roadmap for implementations and support, etc.</v>
      </c>
    </row>
    <row r="108" spans="1:5" ht="36.75" customHeight="1">
      <c r="A108" s="64" t="s">
        <v>277</v>
      </c>
      <c r="B108" s="64" t="str">
        <f>VLOOKUP($A108,Questions!$A$3:$X$333,2,0)&amp;""</f>
        <v>Does your application automatically lock the session or log out an account after a period of inactivity?</v>
      </c>
      <c r="C108" s="64" t="str">
        <f>VLOOKUP($A108,Questions!$A$3:$X$333,19,0)&amp;""</f>
        <v>This is a question to ensure account integrity and institutional data confidentiality.</v>
      </c>
      <c r="D108" s="64" t="str">
        <f>VLOOKUP($A108,Questions!$A$3:$X$333,20,0)&amp;""</f>
        <v>Follow-up inquiries for inactivity protections will be institution/implementation specific.</v>
      </c>
      <c r="E108" s="258" t="s">
        <v>1536</v>
      </c>
    </row>
    <row r="109" spans="1:5" ht="19">
      <c r="A109" s="70" t="str">
        <f>VLOOKUP(LEFT($A110,4),'Auto Responses'!$N$4:$O$38,2,0)&amp;""</f>
        <v xml:space="preserve"> Change Management</v>
      </c>
      <c r="B109" s="70"/>
      <c r="C109" s="63" t="str">
        <f>Questions!$S$2</f>
        <v>Reason for Question</v>
      </c>
      <c r="D109" s="63" t="str">
        <f>Questions!$T$2</f>
        <v>Follow-Up Inquiries/Responses</v>
      </c>
    </row>
    <row r="110" spans="1:5" ht="51" customHeight="1">
      <c r="A110" s="64" t="s">
        <v>280</v>
      </c>
      <c r="B110" s="64" t="str">
        <f>VLOOKUP($A110,Questions!$A$3:$X$333,2,0)&amp;""</f>
        <v>Will the institution be notified of major changes to your environment that could impact the institution's security posture?*</v>
      </c>
      <c r="C110" s="64" t="str">
        <f>VLOOKUP($A110,Questions!$A$3:$X$333,19,0)&amp;""</f>
        <v>Notification expectations should be set earlier in the contract/assessment process. Timelines, correspondence medium, and playbook details are all aspects to keep in mind when assessing this response.</v>
      </c>
      <c r="D110" s="64" t="str">
        <f>VLOOKUP($A110,Questions!$A$3:$X$333,20,0)&amp;""</f>
        <v>If the solution provider's response does not cover the details outlined in the reasoning, follow up and get specific responses for each, as needed.</v>
      </c>
    </row>
    <row r="111" spans="1:5" ht="57" customHeight="1">
      <c r="A111" s="64" t="s">
        <v>285</v>
      </c>
      <c r="B111" s="64" t="str">
        <f>VLOOKUP($A111,Questions!$A$3:$X$333,2,0)&amp;""</f>
        <v>Does the system support client customizations from one release to another?*</v>
      </c>
      <c r="C111" s="64" t="str">
        <f>VLOOKUP($A111,Questions!$A$3:$X$333,19,0)&amp;""</f>
        <v>The solution provider's solution characteristics and the institution's use case will determine the relevancy of this question. The purpose of this question is to understand the underlying infrastructure and how it is maintained across all customers.</v>
      </c>
      <c r="D111" s="64" t="str">
        <f>VLOOKUP($A111,Questions!$A$3:$X$333,20,0)&amp;""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112" spans="1:5" ht="75.75" customHeight="1">
      <c r="A112" s="64" t="s">
        <v>286</v>
      </c>
      <c r="B112" s="64" t="str">
        <f>VLOOKUP($A112,Questions!$A$3:$X$333,2,0)&amp;""</f>
        <v>Do you have an implemented system configuration management process (e.g.,secure "gold" images, etc.)?*</v>
      </c>
      <c r="C112" s="64" t="str">
        <f>VLOOKUP($A112,Questions!$A$3:$X$333,19,0)&amp;""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112" s="64" t="str">
        <f>VLOOKUP($A112,Questions!$A$3:$X$333,20,0)&amp;""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13" spans="1:5" ht="54" customHeight="1">
      <c r="A113" s="64" t="s">
        <v>289</v>
      </c>
      <c r="B113" s="64" t="str">
        <f>VLOOKUP($A113,Questions!$A$3:$X$333,2,0)&amp;""</f>
        <v>Do you have a documented change management process?</v>
      </c>
      <c r="C113" s="64" t="str">
        <f>VLOOKUP($A113,Questions!$A$3:$X$333,19,0)&amp;""</f>
        <v>The lack of a change management function is indicative of immature program processes. Answers to this question can provide insight into how well their responses (on the HECVAT) represent their actual environment(s).</v>
      </c>
      <c r="D113" s="64" t="str">
        <f>VLOOKUP($A113,Questions!$A$3:$X$333,20,0)&amp;""</f>
        <v>If a weak response is given to this answer, response scrutiny should be increased. Questions about configuration management, system authority, and documentation are appropriate.</v>
      </c>
      <c r="E113" s="58"/>
    </row>
    <row r="114" spans="1:5" ht="54" customHeight="1">
      <c r="A114" s="64" t="s">
        <v>293</v>
      </c>
      <c r="B114" s="64" t="str">
        <f>VLOOKUP($A114,Questions!$A$3:$X$333,2,0)&amp;""</f>
        <v>Does your change management process minimally include authorization, impact analysis, testing, and validation before moving changes to production?</v>
      </c>
      <c r="C114" s="64" t="str">
        <f>VLOOKUP($A114,Questions!$A$3:$X$333,19,0)&amp;""</f>
        <v>This question outlines a mature change management process. Changes should be analyzed for impact, officially approved, tested, and performed by authorized users.</v>
      </c>
      <c r="D114" s="64" t="str">
        <f>VLOOKUP($A114,Questions!$A$3:$X$333,20,0)&amp;""</f>
        <v>If the solution provider's response does not cover the details outlined in the reasoning, follow up and get specific responses, as needed.</v>
      </c>
      <c r="E114" s="65"/>
    </row>
    <row r="115" spans="1:5" ht="51" customHeight="1">
      <c r="A115" s="64" t="s">
        <v>297</v>
      </c>
      <c r="B115" s="64" t="str">
        <f>VLOOKUP($A115,Questions!$A$3:$X$333,2,0)&amp;""</f>
        <v>Does your change management process verify that all required third-party libraries and dependencies are still supported with each major change?</v>
      </c>
      <c r="C115" s="64" t="str">
        <f>VLOOKUP($A115,Questions!$A$3:$X$333,19,0)&amp;""</f>
        <v>This question is fundamentally about supply chain. The solution provider should be able to document its procedures around tracking libraries maintained by third parties.</v>
      </c>
      <c r="D115" s="64" t="str">
        <f>VLOOKUP($A115,Questions!$A$3:$X$333,20,0)&amp;""</f>
        <v>If the solution provider's response does not cover the details outlined in the reasoning, follow-up and get specific responses for each, as needed.</v>
      </c>
    </row>
    <row r="116" spans="1:5" ht="39.75" customHeight="1">
      <c r="A116" s="64" t="s">
        <v>301</v>
      </c>
      <c r="B116" s="64" t="str">
        <f>VLOOKUP($A116,Questions!$A$3:$X$333,2,0)&amp;""</f>
        <v>Do you have policy and procedure, currently implemented, managing how critical patches are applied to all systems and applications?</v>
      </c>
      <c r="C116" s="64" t="str">
        <f>VLOOKUP($A116,Questions!$A$3:$X$333,19,0)&amp;""</f>
        <v>Answers to this question will reveal the solution provider’s knowledge of their IT assets and their ability to respond to notifications about their systems and software.</v>
      </c>
      <c r="D116" s="64" t="str">
        <f>VLOOKUP($A116,Questions!$A$3:$X$333,20,0)&amp;""</f>
        <v>Follow-up inquiries for the solution provider’s patching practices will be institution/implementation specific.</v>
      </c>
    </row>
    <row r="117" spans="1:5" ht="66.75" customHeight="1">
      <c r="A117" s="64" t="s">
        <v>305</v>
      </c>
      <c r="B117" s="64" t="str">
        <f>VLOOKUP($A117,Questions!$A$3:$X$333,2,0)&amp;""</f>
        <v>Have you implemented policies and procedures that guide how security risks are mitigated until patches can be applied?</v>
      </c>
      <c r="C117" s="64" t="str">
        <f>VLOOKUP($A117,Questions!$A$3:$X$333,19,0)&amp;""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117" s="64" t="str">
        <f>VLOOKUP($A117,Questions!$A$3:$X$333,20,0)&amp;""</f>
        <v>Follow-up inquiries for the solution providers patching practices will be institution/implementation specific.</v>
      </c>
    </row>
    <row r="118" spans="1:5" ht="86.25" customHeight="1">
      <c r="A118" s="64" t="s">
        <v>308</v>
      </c>
      <c r="B118" s="64" t="str">
        <f>VLOOKUP($A118,Questions!$A$3:$X$333,2,0)&amp;""</f>
        <v>Do clients have the option to not participate in or postpone an upgrade to a new release?</v>
      </c>
      <c r="C118" s="64" t="str">
        <f>VLOOKUP($A118,Questions!$A$3:$X$333,19,0)&amp;""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118" s="64" t="str">
        <f>VLOOKUP($A118,Questions!$A$3:$X$333,20,0)&amp;""</f>
        <v>Follow-up inquiries for solution version releases will be institution/implementation specific.</v>
      </c>
    </row>
    <row r="119" spans="1:5" ht="45">
      <c r="A119" s="64" t="s">
        <v>311</v>
      </c>
      <c r="B119" s="64" t="str">
        <f>VLOOKUP($A119,Questions!$A$3:$X$333,2,0)&amp;""</f>
        <v>Do you have a fully implemented solution support strategy that defines how many concurrent versions you support?</v>
      </c>
      <c r="C119" s="64" t="str">
        <f>VLOOKUP($A119,Questions!$A$3:$X$333,19,0)&amp;""</f>
        <v>Supporting multiple versions of a solution is challenging. Understanding the solution provider’s strategy and resources will provide insight into its ability to adequately support their customers.</v>
      </c>
      <c r="D119" s="64" t="str">
        <f>VLOOKUP($A119,Questions!$A$3:$X$333,20,0)&amp;""</f>
        <v>Follow-up inquiries for the solution provider’s support of concurrent versions will be institution/implementation specific.</v>
      </c>
    </row>
    <row r="120" spans="1:5" ht="49.5" customHeight="1">
      <c r="A120" s="64" t="s">
        <v>313</v>
      </c>
      <c r="B120" s="64" t="str">
        <f>VLOOKUP($A120,Questions!$A$3:$X$333,2,0)&amp;""</f>
        <v>Do you have a release schedule for product updates?</v>
      </c>
      <c r="C120" s="64" t="str">
        <f>VLOOKUP($A120,Questions!$A$3:$X$333,19,0)&amp;""</f>
        <v>Answers to this question will reveal the solution provider’s ability to plan in the short term. This is valuable information for customers so they can anticipate updates and potential bug fixes.</v>
      </c>
      <c r="D120" s="64" t="str">
        <f>VLOOKUP($A120,Questions!$A$3:$X$333,20,0)&amp;""</f>
        <v>Follow-up inquiries for the solution provider’s solution update practices will be institution/implementation specific.</v>
      </c>
    </row>
    <row r="121" spans="1:5" ht="38.25" customHeight="1">
      <c r="A121" s="64" t="s">
        <v>317</v>
      </c>
      <c r="B121" s="64" t="str">
        <f>VLOOKUP($A121,Questions!$A$3:$X$333,2,0)&amp;""</f>
        <v>Do you have a technology roadmap, for at least the next two years, for enhancements and bug fixes for the solution being assessed?</v>
      </c>
      <c r="C121" s="64" t="str">
        <f>VLOOKUP($A121,Questions!$A$3:$X$333,19,0)&amp;""</f>
        <v>Answers to this question will reveal the solution provider’s ability to plan for the future of their solution.</v>
      </c>
      <c r="D121" s="64" t="str">
        <f>VLOOKUP($A121,Questions!$A$3:$X$333,20,0)&amp;""</f>
        <v>Follow-up inquiries for the solution provider’s technology planning practices will be institution/implementation specific.</v>
      </c>
    </row>
    <row r="122" spans="1:5" ht="84.75" customHeight="1">
      <c r="A122" s="64" t="s">
        <v>320</v>
      </c>
      <c r="B122" s="64" t="str">
        <f>VLOOKUP($A122,Questions!$A$3:$X$333,2,0)&amp;""</f>
        <v>Can solution updates be completed without institutional involvement (i.e., technically or organizationally)?</v>
      </c>
      <c r="C122" s="64" t="str">
        <f>VLOOKUP($A122,Questions!$A$3:$X$333,19,0)&amp;""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122" s="64" t="str">
        <f>VLOOKUP($A122,Questions!$A$3:$X$333,20,0)&amp;""</f>
        <v>Vague responses to this question should be investigated further. Ask for additional documentation for customer responsibilities (in the context of information technology/security).</v>
      </c>
    </row>
    <row r="123" spans="1:5" ht="58.5" customHeight="1">
      <c r="A123" s="64" t="s">
        <v>325</v>
      </c>
      <c r="B123" s="64" t="str">
        <f>VLOOKUP($A123,Questions!$A$3:$X$333,2,0)&amp;""</f>
        <v>Are upgrades or system changes installed during off-peak hours or in a manner that does not impact the customer?</v>
      </c>
      <c r="C123" s="64" t="str">
        <f>VLOOKUP($A123,Questions!$A$3:$X$333,19,0)&amp;""</f>
        <v>Restricting system updates to a standard maintenance timeframe is important for ensuring that changes to production systems do not impact operations. It’s also important for troubleshooting any problems that may occur as a result of the changes.</v>
      </c>
      <c r="D123" s="64" t="str">
        <f>VLOOKUP($A123,Questions!$A$3:$X$333,20,0)&amp;""</f>
        <v>If the solution provider's response does not cover the details outlined in the reasoning, follow up and get specific responses, as needed.</v>
      </c>
    </row>
    <row r="124" spans="1:5" ht="52.5" customHeight="1">
      <c r="A124" s="64" t="s">
        <v>329</v>
      </c>
      <c r="B124" s="64" t="str">
        <f>VLOOKUP($A124,Questions!$A$3:$X$333,2,0)&amp;""</f>
        <v>Do procedures exist to provide that emergency changes are documented and authorized (including after-the-fact approval)?</v>
      </c>
      <c r="C124" s="64" t="str">
        <f>VLOOKUP($A124,Questions!$A$3:$X$333,19,0)&amp;""</f>
        <v>In the context of the CIA triad, this question is focused on system integrity, ensuring that system changes are only executed by authorized users. In the event of emergency changes, accountability and post-action review are expected.</v>
      </c>
      <c r="D124" s="64" t="str">
        <f>VLOOKUP($A124,Questions!$A$3:$X$333,20,0)&amp;""</f>
        <v>Follow up with a robust question set if a solution provider cannot clearly state full control of the integrity of their system(s).</v>
      </c>
    </row>
    <row r="125" spans="1:5" ht="66.75" customHeight="1">
      <c r="A125" s="64" t="s">
        <v>332</v>
      </c>
      <c r="B125" s="64" t="str">
        <f>VLOOKUP($A125,Questions!$A$3:$X$333,2,0)&amp;""</f>
        <v>Do you have a systems management and configuration strategy that encompasses servers, appliances, cloud services, applications, and mobile devices (company and employee owned)?</v>
      </c>
      <c r="C125" s="64" t="str">
        <f>VLOOKUP($A125,Questions!$A$3:$X$333,19,0)&amp;""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125" s="64" t="str">
        <f>VLOOKUP($A125,Questions!$A$3:$X$333,20,0)&amp;""</f>
        <v>Follow up with a robust question set if the solution provider cannot clearly state full control of the integrity of their system(s). Questions about administrator access on end-user devices and other maintenance and patching type questions are appropriate.</v>
      </c>
      <c r="E125" s="258" t="s">
        <v>1536</v>
      </c>
    </row>
    <row r="126" spans="1:5" ht="19">
      <c r="A126" s="70" t="str">
        <f>VLOOKUP(LEFT($A127,4),'Auto Responses'!$N$4:$O$38,2,0)&amp;""</f>
        <v xml:space="preserve"> Data</v>
      </c>
      <c r="B126" s="70"/>
      <c r="C126" s="63" t="str">
        <f>Questions!$S$2</f>
        <v>Reason for Question</v>
      </c>
      <c r="D126" s="63" t="str">
        <f>Questions!$T$2</f>
        <v>Follow-Up Inquiries/Responses</v>
      </c>
    </row>
    <row r="127" spans="1:5" ht="50.25" customHeight="1">
      <c r="A127" s="64" t="s">
        <v>336</v>
      </c>
      <c r="B127" s="64" t="str">
        <f>VLOOKUP($A127,Questions!$A$3:$X$333,2,0)&amp;""</f>
        <v>Will the institution's data be stored on any devices (database servers, file servers, SAN, NAS, etc.) configured with non-RFC 1918/4193 (i.e., publicly routable) IP addresses?*</v>
      </c>
      <c r="C127" s="64" t="str">
        <f>VLOOKUP($A127,Questions!$A$3:$X$333,19,0)&amp;""</f>
        <v>Systems that are directly exposed to public internet resources are at greater risk than those that are not. Understanding the requirements for this configuration is important, particularly when assessing compensating controls.</v>
      </c>
      <c r="D127" s="64" t="str">
        <f>VLOOKUP($A127,Questions!$A$3:$X$333,20,0)&amp;""</f>
        <v>Ask the solution provider about its infrastructure and if there is a solution that eliminates the need for this environment.</v>
      </c>
    </row>
    <row r="128" spans="1:5" ht="42" customHeight="1">
      <c r="A128" s="64" t="s">
        <v>340</v>
      </c>
      <c r="B128" s="64" t="str">
        <f>VLOOKUP($A128,Questions!$A$3:$X$333,2,0)&amp;""</f>
        <v>Is the transport of sensitive data encrypted using security protocols/algorithms (e.g., system-to-client)?*</v>
      </c>
      <c r="C128" s="64" t="str">
        <f>VLOOKUP($A128,Questions!$A$3:$X$333,19,0)&amp;""</f>
        <v>The need for encryption in transport is unique to your institution's implementation of a system. In particular, the data flow between the system and the end users of the solution.</v>
      </c>
      <c r="D128" s="64" t="str">
        <f>VLOOKUP($A128,Questions!$A$3:$X$333,20,0)&amp;""</f>
        <v>Follow-up inquiries for data encryption between the system and end-users will be institution/implementation specific.</v>
      </c>
    </row>
    <row r="129" spans="1:5" ht="54.75" customHeight="1">
      <c r="A129" s="64" t="s">
        <v>343</v>
      </c>
      <c r="B129" s="64" t="str">
        <f>VLOOKUP($A129,Questions!$A$3:$X$333,2,0)&amp;""</f>
        <v>Is the storage of sensitive data encrypted using security protocols/algorithms (e.g., disk encryption, at-rest, files, and within a running database)?*</v>
      </c>
      <c r="C129" s="64" t="str">
        <f>VLOOKUP($A129,Questions!$A$3:$X$333,19,0)&amp;""</f>
        <v>The need for encryption at-rest is unique to your institution's implementation of a system. In particular, system components, architectures, and data flows all factor into the need for this control.</v>
      </c>
      <c r="D129" s="64" t="str">
        <f>VLOOKUP($A129,Questions!$A$3:$X$333,20,0)&amp;""</f>
        <v>Follow-up inquiries for data encryption at-rest will be institution/implementation specific.</v>
      </c>
      <c r="E129" s="58"/>
    </row>
    <row r="130" spans="1:5" ht="64.5" customHeight="1">
      <c r="A130" s="64" t="s">
        <v>347</v>
      </c>
      <c r="B130" s="64" t="str">
        <f>VLOOKUP($A130,Questions!$A$3:$X$333,2,0)&amp;""</f>
        <v>Do all cryptographic modules in use in your solution conform to the Federal Information Processing Standards (FIPS PUB 140-2 or 140-3)?*</v>
      </c>
      <c r="C130" s="64" t="str">
        <f>VLOOKUP($A130,Questions!$A$3:$X$333,19,0)&amp;""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30" s="64" t="str">
        <f>VLOOKUP($A130,Questions!$A$3:$X$333,20,0)&amp;""</f>
        <v>If the solution provider cannot accommodate open standards encryption requirements, direct them to NIST's Cryptographic Standards and Guidelines document &lt;https://csrc.nist.gov/Projects/Cryptographic-Standards-and-Guidelines&gt;.</v>
      </c>
      <c r="E130" s="65"/>
    </row>
    <row r="131" spans="1:5" ht="53.25" customHeight="1">
      <c r="A131" s="64" t="s">
        <v>352</v>
      </c>
      <c r="B131" s="64" t="str">
        <f>VLOOKUP($A131,Questions!$A$3:$X$333,2,0)&amp;""</f>
        <v>Will the institution's data be available within the system for a period of time at the completion of this contract?*</v>
      </c>
      <c r="C131" s="64" t="str">
        <f>VLOOKUP($A131,Questions!$A$3:$X$333,19,0)&amp;""</f>
        <v>When cancelling a solution, an institution will commonly want all institutional data that was provided to a solution provider. This questions allows the solution provider to state their general practices when a customer leaves their environment.</v>
      </c>
      <c r="D131" s="64" t="str">
        <f>VLOOKUP($A131,Questions!$A$3:$X$333,20,0)&amp;""</f>
        <v>A solution provider's response should be clear and concise. Be wary of vague responses to this questions and inquire about export specifics, as needed.</v>
      </c>
      <c r="E131" s="67"/>
    </row>
    <row r="132" spans="1:5" ht="50.25" customHeight="1">
      <c r="A132" s="64" t="s">
        <v>355</v>
      </c>
      <c r="B132" s="64" t="str">
        <f>VLOOKUP($A132,Questions!$A$3:$X$333,2,0)&amp;""</f>
        <v>Are these rights retained even through a provider acquisition or bankruptcy event?*</v>
      </c>
      <c r="C132" s="64" t="str">
        <f>VLOOKUP($A132,Questions!$A$3:$X$333,19,0)&amp;""</f>
        <v>This question clarifies the position of the institution in the case of acquisition or bankruptcy. Expect clear responses to this question. If they are vague, be sure to follow up based on institutional counsel guidance.</v>
      </c>
      <c r="D132" s="64" t="str">
        <f>VLOOKUP($A132,Questions!$A$3:$X$333,20,0)&amp;""</f>
        <v>If a solution provider's response is unsatisfactory, engage institutional counsel to appropriately address any ownership concerns.</v>
      </c>
    </row>
    <row r="133" spans="1:5" ht="63.75" customHeight="1">
      <c r="A133" s="64" t="s">
        <v>357</v>
      </c>
      <c r="B133" s="64" t="str">
        <f>VLOOKUP($A133,Questions!$A$3:$X$333,2,0)&amp;""</f>
        <v>Do backups containing the institution's data ever leave the institution's data zone either physically or via network routing?*</v>
      </c>
      <c r="C133" s="64" t="str">
        <f>VLOOKUP($A133,Questions!$A$3:$X$333,19,0)&amp;""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33" s="64" t="str">
        <f>VLOOKUP($A133,Questions!$A$3:$X$333,20,0)&amp;""</f>
        <v>Follow-up inquiries for data backup procedures/practices will be institution/implementation specific.</v>
      </c>
    </row>
    <row r="134" spans="1:5" ht="56.25" customHeight="1">
      <c r="A134" s="64" t="s">
        <v>359</v>
      </c>
      <c r="B134" s="64" t="str">
        <f>VLOOKUP($A134,Questions!$A$3:$X$333,2,0)&amp;""</f>
        <v>Is media used for long-term retention of business data and archival purposes stored in a secure, environmentally protected area?*</v>
      </c>
      <c r="C134" s="64" t="str">
        <f>VLOOKUP($A134,Questions!$A$3:$X$333,19,0)&amp;""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34" s="64" t="str">
        <f>VLOOKUP($A134,Questions!$A$3:$X$333,20,0)&amp;""</f>
        <v>Vague responses to this question should be investigated further. Ask for additional documentation and verify that procedure (and possibly training) exists to ensure proper media handling activity.</v>
      </c>
    </row>
    <row r="135" spans="1:5" ht="56.25" customHeight="1">
      <c r="A135" s="64" t="s">
        <v>363</v>
      </c>
      <c r="B135" s="64" t="str">
        <f>VLOOKUP($A135,Questions!$A$3:$X$333,2,0)&amp;""</f>
        <v>At the completion of this contract, will data be returned to the institution and/or deleted from all your systems and archives?</v>
      </c>
      <c r="C135" s="64" t="str">
        <f>VLOOKUP($A135,Questions!$A$3:$X$333,19,0)&amp;""</f>
        <v>When cancelling a solution, an institution will commonly want all institutional data that was provided to a solution provider. This question allows the solution provider to state its general practices when a customer leaves its environment.</v>
      </c>
      <c r="D135" s="64" t="str">
        <f>VLOOKUP($A135,Questions!$A$3:$X$333,20,0)&amp;""</f>
        <v>A solution provider's response should be clear and concise. Be wary of vague responses to this questions and inquire about export specifics, as needed.</v>
      </c>
    </row>
    <row r="136" spans="1:5" ht="53.25" customHeight="1">
      <c r="A136" s="64" t="s">
        <v>367</v>
      </c>
      <c r="B136" s="64" t="str">
        <f>VLOOKUP($A136,Questions!$A$3:$X$333,2,0)&amp;""</f>
        <v>Can the institution extract a full or partial backup of data?</v>
      </c>
      <c r="C136" s="64" t="str">
        <f>VLOOKUP($A136,Questions!$A$3:$X$333,19,0)&amp;""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36" s="64" t="str">
        <f>VLOOKUP($A136,Questions!$A$3:$X$333,20,0)&amp;""</f>
        <v>A solution provider's response should be clear and concise. Be wary of vague responses to this questions and inquire about export specifics, as needed.</v>
      </c>
    </row>
    <row r="137" spans="1:5" ht="46.5" customHeight="1">
      <c r="A137" s="64" t="s">
        <v>371</v>
      </c>
      <c r="B137" s="64" t="str">
        <f>VLOOKUP($A137,Questions!$A$3:$X$333,2,0)&amp;""</f>
        <v>Do current backups include all operating system software, utilities, security software, application software, and data files necessary for recovery?</v>
      </c>
      <c r="C137" s="64" t="str">
        <f>VLOOKUP($A137,Questions!$A$3:$X$333,19,0)&amp;""</f>
        <v>The purpose of this question is to define the scope of backup operations and the scope at which a solution provider may readily recover when backup restoration is required.</v>
      </c>
      <c r="D137" s="64" t="str">
        <f>VLOOKUP($A137,Questions!$A$3:$X$333,20,0)&amp;""</f>
        <v>Follow-up inquiries for backup content scope will be institution/implementation specific.</v>
      </c>
    </row>
    <row r="138" spans="1:5" ht="74.25" customHeight="1">
      <c r="A138" s="64" t="s">
        <v>375</v>
      </c>
      <c r="B138" s="64" t="str">
        <f>VLOOKUP($A138,Questions!$A$3:$X$333,2,0)&amp;""</f>
        <v>Are you performing off-site backups (i.e., digitally moved off site)?</v>
      </c>
      <c r="C138" s="64" t="str">
        <f>VLOOKUP($A138,Questions!$A$3:$X$333,19,0)&amp;""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38" s="64" t="str">
        <f>VLOOKUP($A138,Questions!$A$3:$X$333,20,0)&amp;""</f>
        <v>Follow-up inquiries for off-site, digital backups will be institution/implementation specific.</v>
      </c>
    </row>
    <row r="139" spans="1:5" ht="56.25" customHeight="1">
      <c r="A139" s="64" t="s">
        <v>381</v>
      </c>
      <c r="B139" s="64" t="str">
        <f>VLOOKUP($A139,Questions!$A$3:$X$333,2,0)&amp;""</f>
        <v>Are physical backups taken off-site (i.e., physically moved off site)?</v>
      </c>
      <c r="C139" s="64" t="str">
        <f>VLOOKUP($A139,Questions!$A$3:$X$333,19,0)&amp;""</f>
        <v>When data is moved physically (e.g.,HDD, print, etc.) off-site, the policies and implemented procedures are important to know. Unencrypted data taken outside secured areas introduces unnecessary risks.</v>
      </c>
      <c r="D139" s="64" t="str">
        <f>VLOOKUP($A139,Questions!$A$3:$X$333,20,0)&amp;""</f>
        <v>Follow-up inquiries for off-site, physical backups will be institution/implementation specific.</v>
      </c>
    </row>
    <row r="140" spans="1:5" ht="60" customHeight="1">
      <c r="A140" s="64" t="s">
        <v>386</v>
      </c>
      <c r="B140" s="64" t="str">
        <f>VLOOKUP($A140,Questions!$A$3:$X$333,2,0)&amp;""</f>
        <v>Are data backups encrypted?</v>
      </c>
      <c r="C140" s="64" t="str">
        <f>VLOOKUP($A140,Questions!$A$3:$X$333,19,0)&amp;""</f>
        <v>The need for encryption at rest (for backups) is unique to your institution's implementation of a system. In particular, system components, architectures, and data flows all factor into the need for this control.</v>
      </c>
      <c r="D140" s="64" t="str">
        <f>VLOOKUP($A140,Questions!$A$3:$X$333,20,0)&amp;""</f>
        <v>Follow-up inquiries for data backup encryption at-rest will be institution/implementation specific.</v>
      </c>
    </row>
    <row r="141" spans="1:5" ht="72" customHeight="1">
      <c r="A141" s="64" t="s">
        <v>387</v>
      </c>
      <c r="B141" s="64" t="str">
        <f>VLOOKUP($A141,Questions!$A$3:$X$333,2,0)&amp;""</f>
        <v>Do you have a media handling process that is documented and currently implemented that meets established business needs and regulatory requirements, including end-of-life, repurposing, and data-sanitization procedures?</v>
      </c>
      <c r="C141" s="64" t="str">
        <f>VLOOKUP($A141,Questions!$A$3:$X$333,19,0)&amp;""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1" s="64" t="str">
        <f>VLOOKUP($A141,Questions!$A$3:$X$333,20,0)&amp;""</f>
        <v>Vague responses to this question should be investigated further. Ask for additional documentation and verify that procedure (and possibly training) exists to ensure proper media handling activity.</v>
      </c>
    </row>
    <row r="142" spans="1:5" ht="56.25" customHeight="1">
      <c r="A142" s="64" t="s">
        <v>389</v>
      </c>
      <c r="B142" s="64" t="str">
        <f>VLOOKUP($A142,Questions!$A$3:$X$333,2,0)&amp;""</f>
        <v>Does the process described in DATA-15 adhere to DoD 5220.22-M and/or NIST SP 800-88 standards?</v>
      </c>
      <c r="C142" s="64" t="str">
        <f>VLOOKUP($A142,Questions!$A$3:$X$333,19,0)&amp;""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2" s="64" t="str">
        <f>VLOOKUP($A142,Questions!$A$3:$X$333,20,0)&amp;""</f>
        <v>Follow-up inquiries for DoD 5220.22-M and/or SP800-88 standards will be institution specific.</v>
      </c>
    </row>
    <row r="143" spans="1:5" ht="68.25" customHeight="1">
      <c r="A143" s="64" t="s">
        <v>393</v>
      </c>
      <c r="B143" s="64" t="str">
        <f>VLOOKUP($A143,Questions!$A$3:$X$333,2,0)&amp;""</f>
        <v>Does your staff (or third party) have access to institutional data (e.g., financial, PHI, or other sensitive information) through any means?</v>
      </c>
      <c r="C143" s="64" t="str">
        <f>VLOOKUP($A143,Questions!$A$3:$X$333,19,0)&amp;""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43" s="64" t="str">
        <f>VLOOKUP($A143,Questions!$A$3:$X$333,20,0)&amp;""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44" spans="1:5" ht="143.25" customHeight="1">
      <c r="A144" s="64" t="s">
        <v>399</v>
      </c>
      <c r="B144" s="64" t="str">
        <f>VLOOKUP($A144,Questions!$A$3:$X$333,2,0)&amp;""</f>
        <v>Do you have a documented and currently implemented strategy for securing employee workstations when they work remotely (i.e., not in a trusted computing environment)?</v>
      </c>
      <c r="C144" s="64" t="str">
        <f>VLOOKUP($A144,Questions!$A$3:$X$333,19,0)&amp;""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44" s="64" t="str">
        <f>VLOOKUP($A144,Questions!$A$3:$X$333,20,0)&amp;""</f>
        <v>Vague responses to this question should be investigated further. Ask for additional documentation and verify that procedure (and possibly training) exists to ensure proper customer data handling activity.</v>
      </c>
    </row>
    <row r="145" spans="1:5" ht="97.5" customHeight="1">
      <c r="A145" s="64" t="s">
        <v>401</v>
      </c>
      <c r="B145" s="64" t="str">
        <f>VLOOKUP($A145,Questions!$A$3:$X$333,2,0)&amp;""</f>
        <v>Does the environment provide for dedicated single-tenant capabilities? If not, describe how your solution or environment separates data from different customers (e.g., logically, physically, single tenancy, multi-tenancy).</v>
      </c>
      <c r="C145" s="64" t="str">
        <f>VLOOKUP($A145,Questions!$A$3:$X$333,19,0)&amp;""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45" s="64" t="str">
        <f>VLOOKUP($A145,Questions!$A$3:$X$333,20,0)&amp;""</f>
        <v>Follow-up inquiries for dedicated single-tenant capabilities will be institution/implementation specific.</v>
      </c>
    </row>
    <row r="146" spans="1:5" ht="68.25" customHeight="1">
      <c r="A146" s="64" t="s">
        <v>406</v>
      </c>
      <c r="B146" s="64" t="str">
        <f>VLOOKUP($A146,Questions!$A$3:$X$333,2,0)&amp;""</f>
        <v>Are ownership rights to all data, inputs, outputs, and metadata retained by the institution?</v>
      </c>
      <c r="C146" s="64" t="str">
        <f>VLOOKUP($A146,Questions!$A$3:$X$333,19,0)&amp;""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46" s="64" t="str">
        <f>VLOOKUP($A146,Questions!$A$3:$X$333,20,0)&amp;""</f>
        <v>If a solution provider's response is unsatisfactory, engage institutional counsel to appropriately address any ownership concerns.</v>
      </c>
    </row>
    <row r="147" spans="1:5" ht="60.75" customHeight="1">
      <c r="A147" s="64" t="s">
        <v>409</v>
      </c>
      <c r="B147" s="64" t="str">
        <f>VLOOKUP($A147,Questions!$A$3:$X$333,2,0)&amp;""</f>
        <v>In the event of imminent bankruptcy, closing of business, or retirement of service, will you provide 90 days for customers to get their data out of the system and migrate applications?</v>
      </c>
      <c r="C147" s="64" t="str">
        <f>VLOOKUP($A147,Questions!$A$3:$X$333,19,0)&amp;""</f>
        <v>This question clarifies the position of the institution in the case of acquisition or bankruptcy. Expect clear responses to this question. If they are vague, be sure to follow up based on institutional counsel guidance.</v>
      </c>
      <c r="D147" s="64" t="str">
        <f>VLOOKUP($A147,Questions!$A$3:$X$333,20,0)&amp;""</f>
        <v>If a solution provider's response is unsatisfactory, engage institutional counsel to appropriately address any ownership concerns.</v>
      </c>
    </row>
    <row r="148" spans="1:5" ht="74.25" customHeight="1">
      <c r="A148" s="64" t="s">
        <v>412</v>
      </c>
      <c r="B148" s="64" t="str">
        <f>VLOOKUP($A148,Questions!$A$3:$X$333,2,0)&amp;""</f>
        <v>Are involatile backup copies made according to predefined schedules and securely stored and protected?</v>
      </c>
      <c r="C148" s="64" t="str">
        <f>VLOOKUP($A148,Questions!$A$3:$X$333,19,0)&amp;""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8" s="64" t="str">
        <f>VLOOKUP($A148,Questions!$A$3:$X$333,20,0)&amp;""</f>
        <v>An institution's use case will drive the requirements for backup strategy. Ensure that the institution's use case and risk tolerance can be met by solution provider systems.</v>
      </c>
    </row>
    <row r="149" spans="1:5" ht="81" customHeight="1">
      <c r="A149" s="64" t="s">
        <v>416</v>
      </c>
      <c r="B149" s="64" t="str">
        <f>VLOOKUP($A149,Questions!$A$3:$X$333,2,0)&amp;""</f>
        <v>Do you have a cryptographic key management process (generation, exchange, storage, safeguards, use, vetting, and replacement) that is documented and currently implemented, for all system components (e.g., database, system, web, etc.)?</v>
      </c>
      <c r="C149" s="64" t="str">
        <f>VLOOKUP($A149,Questions!$A$3:$X$333,19,0)&amp;""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49" s="64" t="str">
        <f>VLOOKUP($A149,Questions!$A$3:$X$333,20,0)&amp;""</f>
        <v>Follow up with the solution provider to ensure that all components of the system are considered. This includes system-to-system, system-to-client, applications, system accounts, etc.</v>
      </c>
      <c r="E149" s="258" t="s">
        <v>1536</v>
      </c>
    </row>
    <row r="150" spans="1:5" ht="19">
      <c r="A150" s="70" t="str">
        <f>VLOOKUP(LEFT($A151,4),'Auto Responses'!$N$4:$O$38,2,0)&amp;""</f>
        <v xml:space="preserve"> Datacenter</v>
      </c>
      <c r="B150" s="70"/>
      <c r="C150" s="63" t="str">
        <f>Questions!$S$2</f>
        <v>Reason for Question</v>
      </c>
      <c r="D150" s="63" t="str">
        <f>Questions!$T$2</f>
        <v>Follow-Up Inquiries/Responses</v>
      </c>
    </row>
    <row r="151" spans="1:5" ht="56.25" customHeight="1">
      <c r="A151" s="64" t="s">
        <v>421</v>
      </c>
      <c r="B151" s="64" t="str">
        <f>VLOOKUP($A151,Questions!$A$3:$X$333,2,0)&amp;""</f>
        <v>Select your hosting option.</v>
      </c>
      <c r="C151" s="64" t="str">
        <f>VLOOKUP($A151,Questions!$A$3:$X$333,19,0)&amp;""</f>
        <v>Understanding the hosting environment may reveal infrastructure risks that may not be apparent by other means and provides context to the responses provided throughout this HECVAT.</v>
      </c>
      <c r="D151" s="64" t="str">
        <f>VLOOKUP($A151,Questions!$A$3:$X$333,20,0)&amp;""</f>
        <v>Follow-up inquiries for hosting options will be institution/implementation specific.</v>
      </c>
    </row>
    <row r="152" spans="1:5" ht="131.25" customHeight="1">
      <c r="A152" s="64" t="s">
        <v>426</v>
      </c>
      <c r="B152" s="64" t="str">
        <f>VLOOKUP($A152,Questions!$A$3:$X$333,2,0)&amp;""</f>
        <v>Is a SOC 2 Type 2 report available for the hosting environment?</v>
      </c>
      <c r="C152" s="64" t="str">
        <f>VLOOKUP($A152,Questions!$A$3:$X$333,19,0)&amp;""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2" s="64" t="str">
        <f>VLOOKUP($A152,Questions!$A$3:$X$333,20,0)&amp;""</f>
        <v>Follow-up inquiries for additional solution provider's SOC 2 Type 2 reports will be institution/implementation specific.</v>
      </c>
    </row>
    <row r="153" spans="1:5" ht="99.75" customHeight="1">
      <c r="A153" s="64" t="s">
        <v>428</v>
      </c>
      <c r="B153" s="64" t="str">
        <f>VLOOKUP($A153,Questions!$A$3:$X$333,2,0)&amp;""</f>
        <v>Are you generally able to accommodate storing each institution's data within its geographic region?</v>
      </c>
      <c r="C153" s="64" t="str">
        <f>VLOOKUP($A153,Questions!$A$3:$X$333,19,0)&amp;""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3" s="64" t="str">
        <f>VLOOKUP($A153,Questions!$A$3:$X$333,20,0)&amp;""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c r="E153" s="58"/>
    </row>
    <row r="154" spans="1:5" ht="64.5" customHeight="1">
      <c r="A154" s="64" t="s">
        <v>431</v>
      </c>
      <c r="B154" s="64" t="str">
        <f>VLOOKUP($A154,Questions!$A$3:$X$333,2,0)&amp;""</f>
        <v>Are the data centers staffed 24 hours a day, seven days a week (i.e., 24 x 7 x 365)?</v>
      </c>
      <c r="C154" s="64" t="str">
        <f>VLOOKUP($A154,Questions!$A$3:$X$333,19,0)&amp;""</f>
        <v>Solution Providers that operate their own datacenter(s) can implement their own monitoring strategy. Use the solution provider's response to this questions to verify/validate other responses related to ownership/co-location/physical security.</v>
      </c>
      <c r="D154" s="64" t="str">
        <f>VLOOKUP($A154,Questions!$A$3:$X$333,20,0)&amp;""</f>
        <v>Follow-up inquiries for data center staffing will be institution/implementation specific.</v>
      </c>
      <c r="E154" s="65"/>
    </row>
    <row r="155" spans="1:5" ht="72" customHeight="1">
      <c r="A155" s="64" t="s">
        <v>436</v>
      </c>
      <c r="B155" s="64" t="str">
        <f>VLOOKUP($A155,Questions!$A$3:$X$333,2,0)&amp;""</f>
        <v>Are your servers separated from other companies via a physical barrier, such as a cage or hard walls?</v>
      </c>
      <c r="C155" s="64" t="str">
        <f>VLOOKUP($A155,Questions!$A$3:$X$333,19,0)&amp;""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5" s="64" t="str">
        <f>VLOOKUP($A155,Questions!$A$3:$X$333,20,0)&amp;""</f>
        <v>Follow-up inquiries for system physical security will be institution/implementation specific.</v>
      </c>
    </row>
    <row r="156" spans="1:5" ht="78" customHeight="1">
      <c r="A156" s="64" t="s">
        <v>439</v>
      </c>
      <c r="B156" s="64" t="str">
        <f>VLOOKUP($A156,Questions!$A$3:$X$333,2,0)&amp;""</f>
        <v>Does a physical barrier fully enclose the physical space, preventing unauthorized physical contact with any of your devices?*</v>
      </c>
      <c r="C156" s="64" t="str">
        <f>VLOOKUP($A156,Questions!$A$3:$X$333,19,0)&amp;""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6" s="64" t="str">
        <f>VLOOKUP($A156,Questions!$A$3:$X$333,20,0)&amp;""</f>
        <v>Follow-up inquiries for system physical security will be institution/implementation specific.</v>
      </c>
    </row>
    <row r="157" spans="1:5" ht="68.25" customHeight="1">
      <c r="A157" s="64" t="s">
        <v>441</v>
      </c>
      <c r="B157" s="64" t="str">
        <f>VLOOKUP($A157,Questions!$A$3:$X$333,2,0)&amp;""</f>
        <v>Are your primary and secondary data centers geographically diverse?</v>
      </c>
      <c r="C157" s="64" t="str">
        <f>VLOOKUP($A157,Questions!$A$3:$X$333,19,0)&amp;""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7" s="64" t="str">
        <f>VLOOKUP($A157,Questions!$A$3:$X$333,20,0)&amp;""</f>
        <v>Follow-up inquiries for geographic diversity in datacenters will be institution/implementation specific.</v>
      </c>
    </row>
    <row r="158" spans="1:5" ht="67.5" customHeight="1">
      <c r="A158" s="64" t="s">
        <v>446</v>
      </c>
      <c r="B158" s="64" t="str">
        <f>VLOOKUP($A158,Questions!$A$3:$X$333,2,0)&amp;""</f>
        <v>Is the service hosted in a high-availability environment?</v>
      </c>
      <c r="C158" s="64" t="str">
        <f>VLOOKUP($A158,Questions!$A$3:$X$333,19,0)&amp;""</f>
        <v>In the context of the CIA triad, this question is focused on the availability of a system (or set of systems).</v>
      </c>
      <c r="D158" s="64" t="str">
        <f>VLOOKUP($A158,Questions!$A$3:$X$333,20,0)&amp;""</f>
        <v>The weight placed on the solution provider's response will be specific to the institution's use case and solution requirements.</v>
      </c>
    </row>
    <row r="159" spans="1:5" ht="36" customHeight="1">
      <c r="A159" s="64" t="s">
        <v>447</v>
      </c>
      <c r="B159" s="64" t="str">
        <f>VLOOKUP($A159,Questions!$A$3:$X$333,2,0)&amp;""</f>
        <v>Is redundant power available for all data centers where institutional data will reside?</v>
      </c>
      <c r="C159" s="64" t="str">
        <f>VLOOKUP($A159,Questions!$A$3:$X$333,19,0)&amp;""</f>
        <v>In the context of the CIA triad, this question is focused on the availability of a system (or set of systems).</v>
      </c>
      <c r="D159" s="64" t="str">
        <f>VLOOKUP($A159,Questions!$A$3:$X$333,20,0)&amp;""</f>
        <v>The weight placed on the solution provider's response will be specific to the institution's use case and solution requirements.</v>
      </c>
    </row>
    <row r="160" spans="1:5" ht="71.25" customHeight="1">
      <c r="A160" s="64" t="s">
        <v>448</v>
      </c>
      <c r="B160" s="64" t="str">
        <f>VLOOKUP($A160,Questions!$A$3:$X$333,2,0)&amp;""</f>
        <v>Are redundant power strategies tested?*</v>
      </c>
      <c r="C160" s="64" t="str">
        <f>VLOOKUP($A160,Questions!$A$3:$X$333,19,0)&amp;""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60" s="64" t="str">
        <f>VLOOKUP($A160,Questions!$A$3:$X$333,20,0)&amp;""</f>
        <v>Follow-up inquiries for redundant power testing details will be institution/implementation specific.</v>
      </c>
      <c r="E160" s="67"/>
    </row>
    <row r="161" spans="1:5" ht="53.25" customHeight="1">
      <c r="A161" s="64" t="s">
        <v>453</v>
      </c>
      <c r="B161" s="64" t="str">
        <f>VLOOKUP($A161,Questions!$A$3:$X$333,2,0)&amp;""</f>
        <v>Does the center where the data will reside have cooling and fire-suppression systems that are active and regularly tested?</v>
      </c>
      <c r="C161" s="64" t="str">
        <f>VLOOKUP($A161,Questions!$A$3:$X$333,19,0)&amp;""</f>
        <v>Installing appropriate environmental controls is crucial to maintaining the integrity of the hosting site. Vague responses to this question should be met with concern and appropriate follow up, based on your institutions risk tolerance.</v>
      </c>
      <c r="D161" s="64" t="str">
        <f>VLOOKUP($A161,Questions!$A$3:$X$333,20,0)&amp;""</f>
        <v>Follow-up inquiries for cooling and fire suppression systems will be institution/implementation specific.</v>
      </c>
    </row>
    <row r="162" spans="1:5" ht="52.5" customHeight="1">
      <c r="A162" s="64" t="s">
        <v>456</v>
      </c>
      <c r="B162" s="64" t="str">
        <f>VLOOKUP($A162,Questions!$A$3:$X$333,2,0)&amp;""</f>
        <v>Do you have Internet Service Provider (ISP) redundancy?</v>
      </c>
      <c r="C162" s="64" t="str">
        <f>VLOOKUP($A162,Questions!$A$3:$X$333,19,0)&amp;""</f>
        <v>In the context of the CIA triad, this question is focused on the availability of a system (or set of systems).</v>
      </c>
      <c r="D162" s="64" t="str">
        <f>VLOOKUP($A162,Questions!$A$3:$X$333,20,0)&amp;""</f>
        <v>The weight placed on the solution provider's response will be specific to the institution's use case and solution requirements.</v>
      </c>
    </row>
    <row r="163" spans="1:5" ht="39" customHeight="1">
      <c r="A163" s="64" t="s">
        <v>460</v>
      </c>
      <c r="B163" s="64" t="str">
        <f>VLOOKUP($A163,Questions!$A$3:$X$333,2,0)&amp;""</f>
        <v>Does every data center where the institution's data will reside have multiple telephone company or network provider entrances to the facility?</v>
      </c>
      <c r="C163" s="64" t="str">
        <f>VLOOKUP($A163,Questions!$A$3:$X$333,19,0)&amp;""</f>
        <v>In the context of the CIA triad, this question is focused on the availability of a system (or set of systems).</v>
      </c>
      <c r="D163" s="64" t="str">
        <f>VLOOKUP($A163,Questions!$A$3:$X$333,20,0)&amp;""</f>
        <v>The weight placed on the solution provider's response will be specific to the institution's use case and solution requirements.</v>
      </c>
    </row>
    <row r="164" spans="1:5" ht="56.25" customHeight="1">
      <c r="A164" s="64" t="s">
        <v>462</v>
      </c>
      <c r="B164" s="64" t="str">
        <f>VLOOKUP($A164,Questions!$A$3:$X$333,2,0)&amp;""</f>
        <v>Do you require multifactor authentication for all administrative accounts in your environment?</v>
      </c>
      <c r="C164" s="64" t="str">
        <f>VLOOKUP($A164,Questions!$A$3:$X$333,19,0)&amp;""</f>
        <v>2FA/MFA, implemented correctly, strengthens the security state of a system. 2FA/MFA is commonly implemented and in many use cases is a requirement for account protection purposes.</v>
      </c>
      <c r="D164" s="64" t="str">
        <f>VLOOKUP($A164,Questions!$A$3:$X$333,20,0)&amp;""</f>
        <v>Ask the solution provider about hardware and software options, future roadmap for implementations and support, etc.</v>
      </c>
    </row>
    <row r="165" spans="1:5" ht="51" customHeight="1">
      <c r="A165" s="64" t="s">
        <v>466</v>
      </c>
      <c r="B165" s="64" t="str">
        <f>VLOOKUP($A165,Questions!$A$3:$X$333,2,0)&amp;""</f>
        <v>Are you using your cloud provider's available hardening tools or pre-hardened images?</v>
      </c>
      <c r="C165" s="64" t="str">
        <f>VLOOKUP($A165,Questions!$A$3:$X$333,19,0)&amp;""</f>
        <v>In the context of the CIA triad, this question is focused on the integrity of a system (or set of systems).</v>
      </c>
      <c r="D165" s="64" t="str">
        <f>VLOOKUP($A165,Questions!$A$3:$X$333,20,0)&amp;""</f>
        <v>Ask the solution provider about their system lifecycle practices and security methodology.</v>
      </c>
    </row>
    <row r="166" spans="1:5" ht="83.25" customHeight="1">
      <c r="A166" s="64" t="s">
        <v>470</v>
      </c>
      <c r="B166" s="64" t="str">
        <f>VLOOKUP($A166,Questions!$A$3:$X$333,2,0)&amp;""</f>
        <v>Does your cloud solution provider have access to your encryption keys?</v>
      </c>
      <c r="C166" s="64" t="str">
        <f>VLOOKUP($A166,Questions!$A$3:$X$333,19,0)&amp;""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6" s="64" t="str">
        <f>VLOOKUP($A166,Questions!$A$3:$X$333,20,0)&amp;""</f>
        <v>Follow up with the solution provider to ensure that all components of the system are considered. This includes system-to-system, system-to-client, applications, system accounts, etc.</v>
      </c>
      <c r="E166" s="67"/>
    </row>
    <row r="167" spans="1:5" ht="19">
      <c r="A167" s="70" t="str">
        <f>VLOOKUP(LEFT($A168,4),'Auto Responses'!$N$4:$O$38,2,0)&amp;""</f>
        <v xml:space="preserve"> Firewalls, IDS, IPS, and Networking</v>
      </c>
      <c r="B167" s="70"/>
      <c r="C167" s="63" t="str">
        <f>Questions!$S$2</f>
        <v>Reason for Question</v>
      </c>
      <c r="D167" s="63" t="str">
        <f>Questions!$T$2</f>
        <v>Follow-Up Inquiries/Responses</v>
      </c>
    </row>
    <row r="168" spans="1:5" ht="45">
      <c r="A168" s="64" t="s">
        <v>476</v>
      </c>
      <c r="B168" s="64" t="str">
        <f>VLOOKUP($A168,Questions!$A$3:$X$333,2,0)&amp;""</f>
        <v>Are you utilizing a stateful packet inspection (SPI) firewall?*</v>
      </c>
      <c r="C168" s="64" t="str">
        <f>VLOOKUP($A168,Questions!$A$3:$X$333,19,0)&amp;""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8" s="64" t="str">
        <f>VLOOKUP($A168,Questions!$A$3:$X$333,20,0)&amp;""</f>
        <v>Follow-up inquiries for firewall capabilities will be institution/implementation specific.</v>
      </c>
    </row>
    <row r="169" spans="1:5" ht="63.75" customHeight="1">
      <c r="A169" s="64" t="s">
        <v>479</v>
      </c>
      <c r="B169" s="64" t="str">
        <f>VLOOKUP($A169,Questions!$A$3:$X$333,2,0)&amp;""</f>
        <v>Do you have a documented policy for firewall change requests?*</v>
      </c>
      <c r="C169" s="64" t="str">
        <f>VLOOKUP($A169,Questions!$A$3:$X$333,19,0)&amp;""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9" s="64" t="str">
        <f>VLOOKUP($A169,Questions!$A$3:$X$333,20,0)&amp;""</f>
        <v>Follow-up inquiries for firewall change requests will be institution/implementation specific.</v>
      </c>
      <c r="E169" s="58"/>
    </row>
    <row r="170" spans="1:5" ht="71.25" customHeight="1">
      <c r="A170" s="64" t="s">
        <v>484</v>
      </c>
      <c r="B170" s="64" t="str">
        <f>VLOOKUP($A170,Questions!$A$3:$X$333,2,0)&amp;""</f>
        <v>Have you implemented an intrusion detection system (network-based)?*</v>
      </c>
      <c r="C170" s="64" t="str">
        <f>VLOOKUP($A170,Questions!$A$3:$X$333,19,0)&amp;""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0" s="64" t="str">
        <f>VLOOKUP($A170,Questions!$A$3:$X$333,20,0)&amp;""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c r="E170" s="65"/>
    </row>
    <row r="171" spans="1:5" ht="72" customHeight="1">
      <c r="A171" s="64" t="s">
        <v>489</v>
      </c>
      <c r="B171" s="64" t="str">
        <f>VLOOKUP($A171,Questions!$A$3:$X$333,2,0)&amp;""</f>
        <v>Do you employ host-based intrusion detection?*</v>
      </c>
      <c r="C171" s="64" t="str">
        <f>VLOOKUP($A171,Questions!$A$3:$X$333,19,0)&amp;""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1" s="64" t="str">
        <f>VLOOKUP($A171,Questions!$A$3:$X$333,20,0)&amp;""</f>
        <v>Ask the solution provider to summarize why host-based intrusion detection tools are not implemented in their environment. What compensating controls are in place to detect configuration changes and/or failures of integrity?</v>
      </c>
    </row>
    <row r="172" spans="1:5" ht="57.75" customHeight="1">
      <c r="A172" s="64" t="s">
        <v>492</v>
      </c>
      <c r="B172" s="64" t="str">
        <f>VLOOKUP($A172,Questions!$A$3:$X$333,2,0)&amp;""</f>
        <v>Are audit logs available for all changes to the network, firewall, IDS, and IPS systems?*</v>
      </c>
      <c r="C172" s="64" t="str">
        <f>VLOOKUP($A172,Questions!$A$3:$X$333,19,0)&amp;""</f>
        <v>Strong logging capabilities are vital to the proper management of a network. Implementing an immature system that lacks sufficient logging capabilities exposes an institution to great risk.</v>
      </c>
      <c r="D172" s="64" t="str">
        <f>VLOOKUP($A172,Questions!$A$3:$X$333,20,0)&amp;""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row>
    <row r="173" spans="1:5" ht="51" customHeight="1">
      <c r="A173" s="64" t="s">
        <v>494</v>
      </c>
      <c r="B173" s="64" t="str">
        <f>VLOOKUP($A173,Questions!$A$3:$X$333,2,0)&amp;""</f>
        <v>Is authority for firewall change approval documented? Please list approver names or titles in Additional Info.</v>
      </c>
      <c r="C173" s="64" t="str">
        <f>VLOOKUP($A173,Questions!$A$3:$X$333,19,0)&amp;""</f>
        <v>Modifications to firewall rule sets can have significant repercussions. To ensure the integrity of the rule set, this question targets the individual (or responsible party) for changes and the reasoning behind their authority.</v>
      </c>
      <c r="D173" s="64" t="str">
        <f>VLOOKUP($A173,Questions!$A$3:$X$333,20,0)&amp;""</f>
        <v>Ensure that a separation of duties exists in network security configurations. Pay close attention to responsibility overlap in small organizations, where staff often fill multiple roles.</v>
      </c>
    </row>
    <row r="174" spans="1:5" ht="72.75" customHeight="1">
      <c r="A174" s="64" t="s">
        <v>496</v>
      </c>
      <c r="B174" s="64" t="str">
        <f>VLOOKUP($A174,Questions!$A$3:$X$333,2,0)&amp;""</f>
        <v>Have you implemented an intrusion prevention system (network-based)?</v>
      </c>
      <c r="C174" s="64" t="str">
        <f>VLOOKUP($A174,Questions!$A$3:$X$333,19,0)&amp;""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4" s="64" t="str">
        <f>VLOOKUP($A174,Questions!$A$3:$X$333,20,0)&amp;""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5" spans="1:5" ht="72.75" customHeight="1">
      <c r="A175" s="64" t="s">
        <v>499</v>
      </c>
      <c r="B175" s="64" t="str">
        <f>VLOOKUP($A175,Questions!$A$3:$X$333,2,0)&amp;""</f>
        <v>Do you employ host-based intrusion prevention?</v>
      </c>
      <c r="C175" s="64" t="str">
        <f>VLOOKUP($A175,Questions!$A$3:$X$333,19,0)&amp;""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5" s="64" t="str">
        <f>VLOOKUP($A175,Questions!$A$3:$X$333,20,0)&amp;""</f>
        <v>Ask the solution provider to summarize why host-based intrusion prevention tools are not implemented in their environment. What compensating controls are in place to detect malicious activity and to actively prevent its function?</v>
      </c>
    </row>
    <row r="176" spans="1:5" ht="66.75" customHeight="1">
      <c r="A176" s="64" t="s">
        <v>504</v>
      </c>
      <c r="B176" s="64" t="str">
        <f>VLOOKUP($A176,Questions!$A$3:$X$333,2,0)&amp;""</f>
        <v>Are you employing any next-generation persistent threat (NGPT) monitoring?</v>
      </c>
      <c r="C176" s="64" t="str">
        <f>VLOOKUP($A176,Questions!$A$3:$X$333,19,0)&amp;""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6" s="64" t="str">
        <f>VLOOKUP($A176,Questions!$A$3:$X$333,20,0)&amp;""</f>
        <v>Follow-up inquiries for next-generation persistent threat monitoring will be institution/implementation specific.</v>
      </c>
    </row>
    <row r="177" spans="1:5" ht="70.5" customHeight="1">
      <c r="A177" s="64" t="s">
        <v>509</v>
      </c>
      <c r="B177" s="64" t="str">
        <f>VLOOKUP($A177,Questions!$A$3:$X$333,2,0)&amp;""</f>
        <v>Is intrusion monitoring performed internally or by a third-party service?</v>
      </c>
      <c r="C177" s="64" t="str">
        <f>VLOOKUP($A177,Questions!$A$3:$X$333,19,0)&amp;""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7" s="64" t="str">
        <f>VLOOKUP($A177,Questions!$A$3:$X$333,20,0)&amp;""</f>
        <v>Follow-up inquiries for intrusion monitoring will be institution/implementation specific.</v>
      </c>
    </row>
    <row r="178" spans="1:5" ht="63.75" customHeight="1">
      <c r="A178" s="64" t="s">
        <v>513</v>
      </c>
      <c r="B178" s="64" t="str">
        <f>VLOOKUP($A178,Questions!$A$3:$X$333,2,0)&amp;""</f>
        <v>Do you monitor for intrusions on a 24 x 7 x 365 basis?</v>
      </c>
      <c r="C178" s="64" t="str">
        <f>VLOOKUP($A178,Questions!$A$3:$X$333,19,0)&amp;""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8" s="64" t="str">
        <f>VLOOKUP($A178,Questions!$A$3:$X$333,20,0)&amp;""</f>
        <v>Follow-up inquiries for 24 x 7 x 365 monitoring will be institution/implementation specific.</v>
      </c>
      <c r="E178" s="258" t="s">
        <v>1536</v>
      </c>
    </row>
    <row r="179" spans="1:5" ht="19">
      <c r="A179" s="70" t="str">
        <f>VLOOKUP(LEFT($A180,4),'Auto Responses'!$N$4:$O$38,2,0)&amp;""</f>
        <v xml:space="preserve"> Policies, Processes, and Procedures</v>
      </c>
      <c r="B179" s="70"/>
      <c r="C179" s="63" t="str">
        <f>Questions!$S$2</f>
        <v>Reason for Question</v>
      </c>
      <c r="D179" s="63" t="str">
        <f>Questions!$T$2</f>
        <v>Follow-Up Inquiries/Responses</v>
      </c>
    </row>
    <row r="180" spans="1:5" ht="69" customHeight="1">
      <c r="A180" s="64" t="s">
        <v>517</v>
      </c>
      <c r="B180" s="64" t="str">
        <f>VLOOKUP($A180,Questions!$A$3:$X$333,2,0)&amp;""</f>
        <v>Do you have a documented patch management process?*</v>
      </c>
      <c r="C180" s="64" t="str">
        <f>VLOOKUP($A180,Questions!$A$3:$X$333,19,0)&amp;""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180" s="64" t="str">
        <f>VLOOKUP($A180,Questions!$A$3:$X$333,20,0)&amp;""</f>
        <v>Follow up with a robust question set if the solution provider cannot clearly state full control of their system patching strategy. Questions about patch testing, testing environments, threat mitigation, incident remediation, etc., are appropriate.</v>
      </c>
    </row>
    <row r="181" spans="1:5" ht="51" customHeight="1">
      <c r="A181" s="64" t="s">
        <v>518</v>
      </c>
      <c r="B181" s="64" t="str">
        <f>VLOOKUP($A181,Questions!$A$3:$X$333,2,0)&amp;""</f>
        <v>Can your organization comply with institutional policies on privacy and data protection with regard to users of institutional systems, if required?*</v>
      </c>
      <c r="C181" s="64" t="str">
        <f>VLOOKUP($A181,Questions!$A$3:$X$333,19,0)&amp;""</f>
        <v>This is a general inquiry to determine if the solution provider has reviewed the institution's policies and is committed to complying with them.</v>
      </c>
      <c r="D181" s="64" t="str">
        <f>VLOOKUP($A181,Questions!$A$3:$X$333,20,0)&amp;""</f>
        <v>If a solution provider is vague in their response, follow up with direct questions about the institution's policies and ensure the expectation of compliance is clear with the solution provider.</v>
      </c>
      <c r="E181" s="58"/>
    </row>
    <row r="182" spans="1:5" ht="43.5" customHeight="1">
      <c r="A182" s="64" t="s">
        <v>520</v>
      </c>
      <c r="B182" s="64" t="str">
        <f>VLOOKUP($A182,Questions!$A$3:$X$333,2,0)&amp;""</f>
        <v>Is your company subject to the institution's geographic region's laws and regulations?*</v>
      </c>
      <c r="C182" s="64" t="str">
        <f>VLOOKUP($A182,Questions!$A$3:$X$333,19,0)&amp;""</f>
        <v>This is a general inquiry to determine if the solution provider is well-versed in applicable laws and regulations that apply in the institution's region of business operation.</v>
      </c>
      <c r="D182" s="64" t="str">
        <f>VLOOKUP($A182,Questions!$A$3:$X$333,20,0)&amp;""</f>
        <v>If a solution provider is vague in their response, follow up with direct questions about doing business in your state/region/country and any laws that are pertinent to the institution.</v>
      </c>
      <c r="E182" s="65"/>
    </row>
    <row r="183" spans="1:5" ht="65.25" customHeight="1">
      <c r="A183" s="64" t="s">
        <v>524</v>
      </c>
      <c r="B183" s="64" t="str">
        <f>VLOOKUP($A183,Questions!$A$3:$X$333,2,0)&amp;""</f>
        <v>Can you accommodate encryption requirements using open standards?</v>
      </c>
      <c r="C183" s="64" t="str">
        <f>VLOOKUP($A183,Questions!$A$3:$X$333,19,0)&amp;""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83" s="64" t="str">
        <f>VLOOKUP($A183,Questions!$A$3:$X$333,20,0)&amp;""</f>
        <v>If the solution provider cannot accommodate open standards encryption requirements, direct them to NIST's Cryptographic Standards and Guidelines document &lt;https://csrc.nist.gov/Projects/Cryptographic-Standards-and-Guidelines&gt;.</v>
      </c>
    </row>
    <row r="184" spans="1:5" ht="58.5" customHeight="1">
      <c r="A184" s="64" t="s">
        <v>528</v>
      </c>
      <c r="B184" s="64" t="str">
        <f>VLOOKUP($A184,Questions!$A$3:$X$333,2,0)&amp;""</f>
        <v>Do you have a documented systems development life cycle (SDLC)?</v>
      </c>
      <c r="C184" s="64" t="str">
        <f>VLOOKUP($A184,Questions!$A$3:$X$333,19,0)&amp;""</f>
        <v>Mature solution lifecycle management can position a solution provider to sufficiently plan, implement, and manage systems that better protect institutional data.</v>
      </c>
      <c r="D184" s="64" t="str">
        <f>VLOOKUP($A184,Questions!$A$3:$X$333,20,0)&amp;""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185" spans="1:5" ht="65.25" customHeight="1">
      <c r="A185" s="64" t="s">
        <v>532</v>
      </c>
      <c r="B185" s="64" t="str">
        <f>VLOOKUP($A185,Questions!$A$3:$X$333,2,0)&amp;""</f>
        <v>Do you perform background screenings or multi-state background checks on all employees prior to their first day of work?</v>
      </c>
      <c r="C185" s="64" t="str">
        <f>VLOOKUP($A185,Questions!$A$3:$X$333,19,0)&amp;""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185" s="64" t="str">
        <f>VLOOKUP($A185,Questions!$A$3:$X$333,20,0)&amp;""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186" spans="1:5" ht="56.25" customHeight="1">
      <c r="A186" s="64" t="s">
        <v>535</v>
      </c>
      <c r="B186" s="64" t="str">
        <f>VLOOKUP($A186,Questions!$A$3:$X$333,2,0)&amp;""</f>
        <v>Do you require new employees to fill out agreements and review policies?</v>
      </c>
      <c r="C186" s="64" t="str">
        <f>VLOOKUP($A186,Questions!$A$3:$X$333,19,0)&amp;""</f>
        <v>Setting the expectation of performance and increasing awareness of security-related responsibilities are part of these initial-hiring documents. Oftentimes these agreements and reviews are conducted during orientation for new employees.</v>
      </c>
      <c r="D186" s="64" t="str">
        <f>VLOOKUP($A186,Questions!$A$3:$X$333,20,0)&amp;""</f>
        <v>If a solution provider's practices are not clear, inquire about training requirements for employees, especially the frequency and scope of content.</v>
      </c>
    </row>
    <row r="187" spans="1:5" ht="141.75" customHeight="1">
      <c r="A187" s="64" t="s">
        <v>537</v>
      </c>
      <c r="B187" s="64" t="str">
        <f>VLOOKUP($A187,Questions!$A$3:$X$333,2,0)&amp;""</f>
        <v>Do you have a documented information security policy?</v>
      </c>
      <c r="C187" s="64" t="str">
        <f>VLOOKUP($A187,Questions!$A$3:$X$333,19,0)&amp;""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187" s="64" t="str">
        <f>VLOOKUP($A187,Questions!$A$3:$X$333,20,0)&amp;""</f>
        <v>If the solution provider does not have an incident response plan, point them to the NIST Computer Security Incident Handling Guide &lt;https://csrc.nist.gov/publications/detail/sp/800-61/rev-2/final&gt;.</v>
      </c>
    </row>
    <row r="188" spans="1:5" ht="70.5" customHeight="1">
      <c r="A188" s="64" t="s">
        <v>541</v>
      </c>
      <c r="B188" s="64" t="str">
        <f>VLOOKUP($A188,Questions!$A$3:$X$333,2,0)&amp;""</f>
        <v>Are information security principles designed into the product lifecycle?</v>
      </c>
      <c r="C188" s="64" t="str">
        <f>VLOOKUP($A188,Questions!$A$3:$X$333,19,0)&amp;""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88" s="64" t="str">
        <f>VLOOKUP($A188,Questions!$A$3:$X$333,20,0)&amp;""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89" spans="1:5" ht="39" customHeight="1">
      <c r="A189" s="64" t="s">
        <v>546</v>
      </c>
      <c r="B189" s="64" t="str">
        <f>VLOOKUP($A189,Questions!$A$3:$X$333,2,0)&amp;""</f>
        <v>Will you comply with applicable breach notification laws?</v>
      </c>
      <c r="C189" s="64" t="str">
        <f>VLOOKUP($A189,Questions!$A$3:$X$333,19,0)&amp;""</f>
        <v>This is a general inquiry to determine if the solution provider is well-versed in applicable laws and regulations that apply in the institution's region of business operation.</v>
      </c>
      <c r="D189" s="64" t="str">
        <f>VLOOKUP($A189,Questions!$A$3:$X$333,20,0)&amp;""</f>
        <v>If a solution provider is vague in their response, follow up with direct questions about doing business in your state/region/country and any laws that are pertinent to the institution.</v>
      </c>
    </row>
    <row r="190" spans="1:5" ht="68.25" customHeight="1">
      <c r="A190" s="64" t="s">
        <v>550</v>
      </c>
      <c r="B190" s="64" t="str">
        <f>VLOOKUP($A190,Questions!$A$3:$X$333,2,0)&amp;""</f>
        <v>Do you have an information security awareness program?</v>
      </c>
      <c r="C190" s="64" t="str">
        <f>VLOOKUP($A190,Questions!$A$3:$X$333,19,0)&amp;""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0" s="64" t="str">
        <f>VLOOKUP($A190,Questions!$A$3:$X$333,20,0)&amp;""</f>
        <v>Follow-up inquiries for information security awareness programs will be institution/implementation specific.</v>
      </c>
      <c r="E190" s="67"/>
    </row>
    <row r="191" spans="1:5" ht="66.75" customHeight="1">
      <c r="A191" s="64" t="s">
        <v>555</v>
      </c>
      <c r="B191" s="64" t="str">
        <f>VLOOKUP($A191,Questions!$A$3:$X$333,2,0)&amp;""</f>
        <v>Is security awareness training mandatory for all employees?</v>
      </c>
      <c r="C191" s="64" t="str">
        <f>VLOOKUP($A191,Questions!$A$3:$X$333,19,0)&amp;""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1" s="64" t="str">
        <f>VLOOKUP($A191,Questions!$A$3:$X$333,20,0)&amp;""</f>
        <v>Follow-up inquiries for information security awareness programs will be institution/implementation specific.</v>
      </c>
    </row>
    <row r="192" spans="1:5" ht="66.75" customHeight="1">
      <c r="A192" s="64" t="s">
        <v>559</v>
      </c>
      <c r="B192" s="64" t="str">
        <f>VLOOKUP($A192,Questions!$A$3:$X$333,2,0)&amp;""</f>
        <v>Do you have process and procedure(s) documented, and currently followed, that require a review and update of the access list(s) for privileged accounts?</v>
      </c>
      <c r="C192" s="64" t="str">
        <f>VLOOKUP($A192,Questions!$A$3:$X$333,19,0)&amp;""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192" s="64" t="str">
        <f>VLOOKUP($A192,Questions!$A$3:$X$333,20,0)&amp;""</f>
        <v>Ask the solution provider to summarize their implemented policies and/or procedures.</v>
      </c>
    </row>
    <row r="193" spans="1:5" ht="71.25" customHeight="1">
      <c r="A193" s="64" t="s">
        <v>563</v>
      </c>
      <c r="B193" s="64" t="str">
        <f>VLOOKUP($A193,Questions!$A$3:$X$333,2,0)&amp;""</f>
        <v>Do you have documented, and currently implemented, internal audit processes and procedures?</v>
      </c>
      <c r="C193" s="64" t="str">
        <f>VLOOKUP($A193,Questions!$A$3:$X$333,19,0)&amp;""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193" s="64" t="str">
        <f>VLOOKUP($A193,Questions!$A$3:$X$333,20,0)&amp;""</f>
        <v>Follow-up inquiries for internal audit processes and procedures will be institution/implementation specific.</v>
      </c>
      <c r="E193" s="58"/>
    </row>
    <row r="194" spans="1:5" ht="44.25" customHeight="1">
      <c r="A194" s="64" t="s">
        <v>568</v>
      </c>
      <c r="B194" s="64" t="str">
        <f>VLOOKUP($A194,Questions!$A$3:$X$333,2,0)&amp;""</f>
        <v>Does your organization have physical security controls and policies in place?</v>
      </c>
      <c r="C194" s="64" t="str">
        <f>VLOOKUP($A194,Questions!$A$3:$X$333,19,0)&amp;""</f>
        <v>This question aims to understand the physical security state of the solution provider's operating environment and whether or not physical assets are appropriately protected.</v>
      </c>
      <c r="D194" s="64" t="str">
        <f>VLOOKUP($A194,Questions!$A$3:$X$333,20,0)&amp;""</f>
        <v>Follow-up inquiries for physical security controls and policies will be institution/implementation specific.</v>
      </c>
      <c r="E194" s="258" t="s">
        <v>1536</v>
      </c>
    </row>
    <row r="195" spans="1:5" ht="19">
      <c r="A195" s="70" t="str">
        <f>VLOOKUP(LEFT($A196,4),'Auto Responses'!$N$4:$O$38,2,0)&amp;""</f>
        <v xml:space="preserve"> Incident Handling</v>
      </c>
      <c r="B195" s="70"/>
      <c r="C195" s="63" t="str">
        <f>Questions!$S$2</f>
        <v>Reason for Question</v>
      </c>
      <c r="D195" s="63" t="str">
        <f>Questions!$T$2</f>
        <v>Follow-Up Inquiries/Responses</v>
      </c>
    </row>
    <row r="196" spans="1:5" ht="96.75" customHeight="1">
      <c r="A196" s="64" t="s">
        <v>573</v>
      </c>
      <c r="B196" s="64" t="str">
        <f>VLOOKUP($A196,Questions!$A$3:$X$333,2,0)&amp;""</f>
        <v>Do you have a formal incident response plan?</v>
      </c>
      <c r="C196" s="64" t="str">
        <f>VLOOKUP($A196,Questions!$A$3:$X$333,19,0)&amp;""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96" s="64" t="str">
        <f>VLOOKUP($A196,Questions!$A$3:$X$333,20,0)&amp;""</f>
        <v>If the solution provider does not have an incident response plan, direct them to the NIST Computer Security Incident Handling Guide &lt;https://csrc.nist.gov/publications/detail/sp/800-61/rev-2/final&gt;.</v>
      </c>
    </row>
    <row r="197" spans="1:5" ht="72.75" customHeight="1">
      <c r="A197" s="64" t="s">
        <v>577</v>
      </c>
      <c r="B197" s="64" t="str">
        <f>VLOOKUP($A197,Questions!$A$3:$X$333,2,0)&amp;""</f>
        <v>Do you either have an internal incident response team or retain an external team?</v>
      </c>
      <c r="C197" s="64" t="str">
        <f>VLOOKUP($A197,Questions!$A$3:$X$333,19,0)&amp;""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97" s="64" t="str">
        <f>VLOOKUP($A197,Questions!$A$3:$X$333,20,0)&amp;""</f>
        <v>If the solution provider does not have an incident response plan, direct them to the NIST Computer Security Incident Handling Guide &lt;https://csrc.nist.gov/publications/detail/sp/800-61/rev-2/final&gt;.</v>
      </c>
    </row>
    <row r="198" spans="1:5" ht="74.25" customHeight="1">
      <c r="A198" s="64" t="s">
        <v>581</v>
      </c>
      <c r="B198" s="64" t="str">
        <f>VLOOKUP($A198,Questions!$A$3:$X$333,2,0)&amp;""</f>
        <v>Do you have the capability to respond to incidents on a 24 x 7 x 365 basis?</v>
      </c>
      <c r="C198" s="64" t="str">
        <f>VLOOKUP($A198,Questions!$A$3:$X$333,19,0)&amp;""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98" s="64" t="str">
        <f>VLOOKUP($A198,Questions!$A$3:$X$333,20,0)&amp;""</f>
        <v>If the solution provider does not have an incident response team, direct them to the NIST Computer Security Incident Handling Guide &lt;https://csrc.nist.gov/publications/detail/sp/800-61/rev-2/final&gt;.</v>
      </c>
    </row>
    <row r="199" spans="1:5" ht="81" customHeight="1">
      <c r="A199" s="64" t="s">
        <v>585</v>
      </c>
      <c r="B199" s="64" t="str">
        <f>VLOOKUP($A199,Questions!$A$3:$X$333,2,0)&amp;""</f>
        <v>Do you carry cyber-risk insurance to protect against unforeseen service outages, data that is lost or stolen, and security incidents?</v>
      </c>
      <c r="C199" s="64" t="str">
        <f>VLOOKUP($A199,Questions!$A$3:$X$333,19,0)&amp;""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99" s="64" t="str">
        <f>VLOOKUP($A199,Questions!$A$3:$X$333,20,0)&amp;""</f>
        <v>If the solution provider does not have an incident response plan, point them to the NIST Computer Security Incident Handling Guide &lt;https://csrc.nist.gov/publications/detail/sp/800-61/rev-2/final&gt;.</v>
      </c>
      <c r="E199" s="258" t="s">
        <v>1536</v>
      </c>
    </row>
    <row r="200" spans="1:5" ht="19">
      <c r="A200" s="70" t="str">
        <f>VLOOKUP(LEFT($A201,4),'Auto Responses'!$N$4:$O$38,2,0)&amp;""</f>
        <v xml:space="preserve"> Vulnerability Management</v>
      </c>
      <c r="B200" s="70"/>
      <c r="C200" s="63" t="str">
        <f>Questions!$S$2</f>
        <v>Reason for Question</v>
      </c>
      <c r="D200" s="63" t="str">
        <f>Questions!$T$2</f>
        <v>Follow-Up Inquiries/Responses</v>
      </c>
    </row>
    <row r="201" spans="1:5" ht="60">
      <c r="A201" s="64" t="s">
        <v>588</v>
      </c>
      <c r="B201" s="64" t="str">
        <f>VLOOKUP($A201,Questions!$A$3:$X$333,2,0)&amp;""</f>
        <v>Are your systems and applications scanned with an authenticated user account for vulnerabilities (that are remediated) prior to new releases?*</v>
      </c>
      <c r="C201" s="64" t="str">
        <f>VLOOKUP($A201,Questions!$A$3:$X$333,19,0)&amp;""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201" s="64" t="str">
        <f>VLOOKUP($A201,Questions!$A$3:$X$333,20,0)&amp;""</f>
        <v>Ask if there are plans to implement these processes. Ask the solution provider to summarize their decision behind not scanning their applications for vulnerabilities prior to release.</v>
      </c>
    </row>
    <row r="202" spans="1:5" ht="52.5" customHeight="1">
      <c r="A202" s="64" t="s">
        <v>592</v>
      </c>
      <c r="B202" s="64" t="str">
        <f>VLOOKUP($A202,Questions!$A$3:$X$333,2,0)&amp;""</f>
        <v>Will you provide results of application and system vulnerability scans to the institution?*</v>
      </c>
      <c r="C202" s="64" t="str">
        <f>VLOOKUP($A202,Questions!$A$3:$X$333,19,0)&amp;""</f>
        <v>If a solution provider is scanning its applications and/or systems, oftentimes an institution will want to review the report, if possible. Preferably, any finding on the reports will have a matching mitigation action.</v>
      </c>
      <c r="D202" s="64" t="str">
        <f>VLOOKUP($A202,Questions!$A$3:$X$333,20,0)&amp;""</f>
        <v>If a solution provider is hesitant to share the report, ask for a summarized version; some insight is better than none.</v>
      </c>
    </row>
    <row r="203" spans="1:5" ht="66" customHeight="1">
      <c r="A203" s="64" t="s">
        <v>596</v>
      </c>
      <c r="B203" s="64" t="str">
        <f>VLOOKUP($A203,Questions!$A$3:$X$333,2,0)&amp;""</f>
        <v>Will you allow the institution to perform its own vulnerability testing and/or scanning of your systems and/or application, provided that testing is performed at a mutually agreed upon time and date?*</v>
      </c>
      <c r="C203" s="64" t="str">
        <f>VLOOKUP($A203,Questions!$A$3:$X$333,19,0)&amp;""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203" s="64" t="str">
        <f>VLOOKUP($A203,Questions!$A$3:$X$333,20,0)&amp;""</f>
        <v>Follow-up inquiries for vulnerability scanning and penetration testing will be institution/implementation specific.</v>
      </c>
    </row>
    <row r="204" spans="1:5" ht="98.25" customHeight="1">
      <c r="A204" s="64" t="s">
        <v>599</v>
      </c>
      <c r="B204" s="64" t="str">
        <f>VLOOKUP($A204,Questions!$A$3:$X$333,2,0)&amp;""</f>
        <v>Have your systems and applications had a third-party security assessment completed in the last year?</v>
      </c>
      <c r="C204" s="64" t="str">
        <f>VLOOKUP($A204,Questions!$A$3:$X$333,19,0)&amp;""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4" s="64" t="str">
        <f>VLOOKUP($A204,Questions!$A$3:$X$333,20,0)&amp;""</f>
        <v>Ask if there has ever been a vulnerability scan. A short lapse in external assessment validity can be understood (if there is a planned assessment), but a significant time lapse or no scan whatsoever is cause for elevated levels of concern.</v>
      </c>
    </row>
    <row r="205" spans="1:5" ht="81" customHeight="1">
      <c r="A205" s="64" t="s">
        <v>602</v>
      </c>
      <c r="B205" s="64" t="str">
        <f>VLOOKUP($A205,Questions!$A$3:$X$333,2,0)&amp;""</f>
        <v>Do you regularly scan for common web application security vulnerabilities (e.g., SQL injection, XSS, XSRF, etc.)?</v>
      </c>
      <c r="C205" s="64" t="str">
        <f>VLOOKUP($A205,Questions!$A$3:$X$333,19,0)&amp;""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205" s="64" t="str">
        <f>VLOOKUP($A205,Questions!$A$3:$X$333,20,0)&amp;""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206" spans="1:5" ht="89.25" customHeight="1">
      <c r="A206" s="64" t="s">
        <v>604</v>
      </c>
      <c r="B206" s="64" t="str">
        <f>VLOOKUP($A206,Questions!$A$3:$X$333,2,0)&amp;""</f>
        <v>Are your systems and applications regularly scanned externally for vulnerabilities?</v>
      </c>
      <c r="C206" s="64" t="str">
        <f>VLOOKUP($A206,Questions!$A$3:$X$333,19,0)&amp;""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6" s="64" t="str">
        <f>VLOOKUP($A206,Questions!$A$3:$X$333,20,0)&amp;""</f>
        <v>If "no," inquire if there has ever been a vulnerability scan. A short lapse in external assessment validity can be understood (if there is a planned assessment), but a significant time lapse or no scan whatsoever is cause for elevated levels of concern.</v>
      </c>
      <c r="E206" s="258" t="s">
        <v>1536</v>
      </c>
    </row>
    <row r="207" spans="1:5" ht="19">
      <c r="A207" s="70" t="str">
        <f>VLOOKUP(LEFT($A208,4),'Auto Responses'!$N$4:$O$38,2,0)&amp;""</f>
        <v xml:space="preserve">HIPAA Compliance </v>
      </c>
      <c r="B207" s="70"/>
      <c r="C207" s="63" t="str">
        <f>Questions!$S$2</f>
        <v>Reason for Question</v>
      </c>
      <c r="D207" s="63" t="str">
        <f>Questions!$T$2</f>
        <v>Follow-Up Inquiries/Responses</v>
      </c>
    </row>
    <row r="208" spans="1:5" ht="50.25" customHeight="1">
      <c r="A208" s="64" t="s">
        <v>607</v>
      </c>
      <c r="B208" s="64" t="str">
        <f>VLOOKUP($A208,Questions!$A$3:$X$333,2,0)&amp;""</f>
        <v>Do your workforce members receive regular training related to the Health Insurance Portability and Accountability Act (HIPAA) Privacy and Security Rules and the HITECH Act?*</v>
      </c>
      <c r="C208" s="64" t="str">
        <f>VLOOKUP($A208,Questions!$A$3:$X$333,19,0)&amp;""</f>
        <v>HIPAA</v>
      </c>
      <c r="D208" s="64" t="str">
        <f>VLOOKUP($A208,Questions!$A$3:$X$333,20,0)&amp;""</f>
        <v>Refer to HIPAA documentation or your institution's Chief HIPAA Security Officer.</v>
      </c>
      <c r="E208" s="67"/>
    </row>
    <row r="209" spans="1:5" ht="27" customHeight="1">
      <c r="A209" s="64" t="s">
        <v>612</v>
      </c>
      <c r="B209" s="64" t="str">
        <f>VLOOKUP($A209,Questions!$A$3:$X$333,2,0)&amp;""</f>
        <v>Have you identified areas of risk?*</v>
      </c>
      <c r="C209" s="64" t="str">
        <f>VLOOKUP($A209,Questions!$A$3:$X$333,19,0)&amp;""</f>
        <v>HIPAA</v>
      </c>
      <c r="D209" s="64" t="str">
        <f>VLOOKUP($A209,Questions!$A$3:$X$333,20,0)&amp;""</f>
        <v>Refer to HIPAA documentation or your institution's Chief HIPAA Security Officer.</v>
      </c>
      <c r="E209" s="67"/>
    </row>
    <row r="210" spans="1:5" ht="26.25" customHeight="1">
      <c r="A210" s="64" t="s">
        <v>614</v>
      </c>
      <c r="B210" s="64" t="str">
        <f>VLOOKUP($A210,Questions!$A$3:$X$333,2,0)&amp;""</f>
        <v>Have the relevant policies/plans been tested?*</v>
      </c>
      <c r="C210" s="64" t="str">
        <f>VLOOKUP($A210,Questions!$A$3:$X$333,19,0)&amp;""</f>
        <v>HIPAA</v>
      </c>
      <c r="D210" s="64" t="str">
        <f>VLOOKUP($A210,Questions!$A$3:$X$333,20,0)&amp;""</f>
        <v>Refer to HIPAA documentation or your institution's Chief HIPAA Security Officer.</v>
      </c>
      <c r="E210" s="65"/>
    </row>
    <row r="211" spans="1:5" ht="50.25" customHeight="1">
      <c r="A211" s="64" t="s">
        <v>616</v>
      </c>
      <c r="B211" s="64" t="str">
        <f>VLOOKUP($A211,Questions!$A$3:$X$333,2,0)&amp;""</f>
        <v>Have you entered into a Business Associate Agreements with all subcontractors who may have access to protected health information (PHI)?*</v>
      </c>
      <c r="C211" s="64" t="str">
        <f>VLOOKUP($A211,Questions!$A$3:$X$333,19,0)&amp;""</f>
        <v>HIPAA</v>
      </c>
      <c r="D211" s="64" t="str">
        <f>VLOOKUP($A211,Questions!$A$3:$X$333,20,0)&amp;""</f>
        <v>Refer to HIPAA documentation or your institution's Chief HIPAA Security Officer.</v>
      </c>
    </row>
    <row r="212" spans="1:5" ht="36" customHeight="1">
      <c r="A212" s="64" t="s">
        <v>618</v>
      </c>
      <c r="B212" s="64" t="str">
        <f>VLOOKUP($A212,Questions!$A$3:$X$333,2,0)&amp;""</f>
        <v>Do you monitor or receive information regarding changes in HIPAA regulations?</v>
      </c>
      <c r="C212" s="64" t="str">
        <f>VLOOKUP($A212,Questions!$A$3:$X$333,19,0)&amp;""</f>
        <v>HIPAA</v>
      </c>
      <c r="D212" s="64" t="str">
        <f>VLOOKUP($A212,Questions!$A$3:$X$333,20,0)&amp;""</f>
        <v>Refer to HIPAA documentation or your institution's Chief HIPAA Security Officer.</v>
      </c>
      <c r="E212" s="67"/>
    </row>
    <row r="213" spans="1:5" ht="36.75" customHeight="1">
      <c r="A213" s="64" t="s">
        <v>619</v>
      </c>
      <c r="B213" s="64" t="str">
        <f>VLOOKUP($A213,Questions!$A$3:$X$333,2,0)&amp;""</f>
        <v>Has your organization designated HIPAA Privacy and Security officers as required by the rules?</v>
      </c>
      <c r="C213" s="64" t="str">
        <f>VLOOKUP($A213,Questions!$A$3:$X$333,19,0)&amp;""</f>
        <v>HIPAA</v>
      </c>
      <c r="D213" s="64" t="str">
        <f>VLOOKUP($A213,Questions!$A$3:$X$333,20,0)&amp;""</f>
        <v>Refer to HIPAA documentation or your institution's Chief HIPAA Security Officer.</v>
      </c>
      <c r="E213" s="67"/>
    </row>
    <row r="214" spans="1:5" ht="42" customHeight="1">
      <c r="A214" s="64" t="s">
        <v>620</v>
      </c>
      <c r="B214" s="64" t="str">
        <f>VLOOKUP($A214,Questions!$A$3:$X$333,2,0)&amp;""</f>
        <v>Do you comply with the requirements of the Health Information Technology for Economic and Clinical Health Act (HITECH)?</v>
      </c>
      <c r="C214" s="64" t="str">
        <f>VLOOKUP($A214,Questions!$A$3:$X$333,19,0)&amp;""</f>
        <v>HIPAA</v>
      </c>
      <c r="D214" s="64" t="str">
        <f>VLOOKUP($A214,Questions!$A$3:$X$333,20,0)&amp;""</f>
        <v>Refer to HIPAA documentation or your institution's Chief HIPAA Security Officer.</v>
      </c>
      <c r="E214" s="67"/>
    </row>
    <row r="215" spans="1:5" ht="40.5" customHeight="1">
      <c r="A215" s="64" t="s">
        <v>622</v>
      </c>
      <c r="B215" s="64" t="str">
        <f>VLOOKUP($A215,Questions!$A$3:$X$333,2,0)&amp;""</f>
        <v>Have you conducted a risk analysis as required under the HIPAA Security Rule?</v>
      </c>
      <c r="C215" s="64" t="str">
        <f>VLOOKUP($A215,Questions!$A$3:$X$333,19,0)&amp;""</f>
        <v>HIPAA</v>
      </c>
      <c r="D215" s="64" t="str">
        <f>VLOOKUP($A215,Questions!$A$3:$X$333,20,0)&amp;""</f>
        <v>Refer to HIPAA documentation or your institution's Chief HIPAA Security Officer.</v>
      </c>
      <c r="E215" s="65"/>
    </row>
    <row r="216" spans="1:5" ht="25.5" customHeight="1">
      <c r="A216" s="64" t="s">
        <v>624</v>
      </c>
      <c r="B216" s="64" t="str">
        <f>VLOOKUP($A216,Questions!$A$3:$X$333,2,0)&amp;""</f>
        <v>Have you taken actions to mitigate the identified risks?</v>
      </c>
      <c r="C216" s="64" t="str">
        <f>VLOOKUP($A216,Questions!$A$3:$X$333,19,0)&amp;""</f>
        <v>HIPAA</v>
      </c>
      <c r="D216" s="64" t="str">
        <f>VLOOKUP($A216,Questions!$A$3:$X$333,20,0)&amp;""</f>
        <v>Refer to HIPAA documentation or your institution's Chief HIPAA Security Officer.</v>
      </c>
    </row>
    <row r="217" spans="1:5" ht="39.75" customHeight="1">
      <c r="A217" s="64" t="s">
        <v>626</v>
      </c>
      <c r="B217" s="64" t="str">
        <f>VLOOKUP($A217,Questions!$A$3:$X$333,2,0)&amp;""</f>
        <v>Does your application require user and system administrator password changes at a frequency no greater than 90 days?</v>
      </c>
      <c r="C217" s="64" t="str">
        <f>VLOOKUP($A217,Questions!$A$3:$X$333,19,0)&amp;""</f>
        <v>HIPAA</v>
      </c>
      <c r="D217" s="64" t="str">
        <f>VLOOKUP($A217,Questions!$A$3:$X$333,20,0)&amp;""</f>
        <v>Refer to HIPAA documentation or your institution's Chief HIPAA Security Officer.</v>
      </c>
    </row>
    <row r="218" spans="1:5" ht="42.75" customHeight="1">
      <c r="A218" s="64" t="s">
        <v>628</v>
      </c>
      <c r="B218" s="64" t="str">
        <f>VLOOKUP($A218,Questions!$A$3:$X$333,2,0)&amp;""</f>
        <v>Does your application require users to set their own password after an administrator reset or on first use of the account?</v>
      </c>
      <c r="C218" s="64" t="str">
        <f>VLOOKUP($A218,Questions!$A$3:$X$333,19,0)&amp;""</f>
        <v>HIPAA</v>
      </c>
      <c r="D218" s="64" t="str">
        <f>VLOOKUP($A218,Questions!$A$3:$X$333,20,0)&amp;""</f>
        <v>Refer to HIPAA documentation or your institution's Chief HIPAA Security Officer.</v>
      </c>
    </row>
    <row r="219" spans="1:5" ht="39.75" customHeight="1">
      <c r="A219" s="64" t="s">
        <v>630</v>
      </c>
      <c r="B219" s="64" t="str">
        <f>VLOOKUP($A219,Questions!$A$3:$X$333,2,0)&amp;""</f>
        <v>Does your application lock out an account after a number of failed login attempts?</v>
      </c>
      <c r="C219" s="64" t="str">
        <f>VLOOKUP($A219,Questions!$A$3:$X$333,19,0)&amp;""</f>
        <v>HIPAA</v>
      </c>
      <c r="D219" s="64" t="str">
        <f>VLOOKUP($A219,Questions!$A$3:$X$333,20,0)&amp;""</f>
        <v>Refer to HIPAA documentation or your institution's Chief HIPAA Security Officer.</v>
      </c>
    </row>
    <row r="220" spans="1:5" ht="39.75" customHeight="1">
      <c r="A220" s="64" t="s">
        <v>632</v>
      </c>
      <c r="B220" s="64" t="str">
        <f>VLOOKUP($A220,Questions!$A$3:$X$333,2,0)&amp;""</f>
        <v>Does your application automatically lock or log-out an account after a period of inactivity?</v>
      </c>
      <c r="C220" s="64" t="str">
        <f>VLOOKUP($A220,Questions!$A$3:$X$333,19,0)&amp;""</f>
        <v>HIPAA</v>
      </c>
      <c r="D220" s="64" t="str">
        <f>VLOOKUP($A220,Questions!$A$3:$X$333,20,0)&amp;""</f>
        <v>Refer to HIPAA documentation or your institution's Chief HIPAA Security Officer.</v>
      </c>
    </row>
    <row r="221" spans="1:5" ht="40.5" customHeight="1">
      <c r="A221" s="64" t="s">
        <v>634</v>
      </c>
      <c r="B221" s="64" t="str">
        <f>VLOOKUP($A221,Questions!$A$3:$X$333,2,0)&amp;""</f>
        <v>Are passwords visible in plain text, whether when stored or entered, including service level accounts (i.e., database accounts, etc.)?</v>
      </c>
      <c r="C221" s="64" t="str">
        <f>VLOOKUP($A221,Questions!$A$3:$X$333,19,0)&amp;""</f>
        <v>HIPAA</v>
      </c>
      <c r="D221" s="64" t="str">
        <f>VLOOKUP($A221,Questions!$A$3:$X$333,20,0)&amp;""</f>
        <v>Refer to HIPAA documentation or your institution's Chief HIPAA Security Officer.</v>
      </c>
      <c r="E221" s="58"/>
    </row>
    <row r="222" spans="1:5" ht="39" customHeight="1">
      <c r="A222" s="64" t="s">
        <v>636</v>
      </c>
      <c r="B222" s="64" t="str">
        <f>VLOOKUP($A222,Questions!$A$3:$X$333,2,0)&amp;""</f>
        <v>If the application is institution-hosted, can all service level and administrative account passwords be changed by the institution?</v>
      </c>
      <c r="C222" s="64" t="str">
        <f>VLOOKUP($A222,Questions!$A$3:$X$333,19,0)&amp;""</f>
        <v>HIPAA</v>
      </c>
      <c r="D222" s="64" t="str">
        <f>VLOOKUP($A222,Questions!$A$3:$X$333,20,0)&amp;""</f>
        <v>Refer to HIPAA documentation or your institution's Chief HIPAA Security Officer.</v>
      </c>
    </row>
    <row r="223" spans="1:5" ht="23.25" customHeight="1">
      <c r="A223" s="64" t="s">
        <v>638</v>
      </c>
      <c r="B223" s="64" t="str">
        <f>VLOOKUP($A223,Questions!$A$3:$X$333,2,0)&amp;""</f>
        <v>Does your application provide the ability to define user access levels?</v>
      </c>
      <c r="C223" s="64" t="str">
        <f>VLOOKUP($A223,Questions!$A$3:$X$333,19,0)&amp;""</f>
        <v>HIPAA</v>
      </c>
      <c r="D223" s="64" t="str">
        <f>VLOOKUP($A223,Questions!$A$3:$X$333,20,0)&amp;""</f>
        <v>Refer to HIPAA documentation or your institution's Chief HIPAA Security Officer.</v>
      </c>
    </row>
    <row r="224" spans="1:5" ht="39.75" customHeight="1">
      <c r="A224" s="64" t="s">
        <v>640</v>
      </c>
      <c r="B224" s="64" t="str">
        <f>VLOOKUP($A224,Questions!$A$3:$X$333,2,0)&amp;""</f>
        <v>Does your application support varying levels of access to administrative tasks defined individually per user?</v>
      </c>
      <c r="C224" s="64" t="str">
        <f>VLOOKUP($A224,Questions!$A$3:$X$333,19,0)&amp;""</f>
        <v>HIPAA</v>
      </c>
      <c r="D224" s="64" t="str">
        <f>VLOOKUP($A224,Questions!$A$3:$X$333,20,0)&amp;""</f>
        <v>Refer to HIPAA documentation or your institution's Chief HIPAA Security Officer.</v>
      </c>
    </row>
    <row r="225" spans="1:5" ht="38.25" customHeight="1">
      <c r="A225" s="64" t="s">
        <v>642</v>
      </c>
      <c r="B225" s="64" t="str">
        <f>VLOOKUP($A225,Questions!$A$3:$X$333,2,0)&amp;""</f>
        <v>Does your application support varying levels of access to records based on user ID?</v>
      </c>
      <c r="C225" s="64" t="str">
        <f>VLOOKUP($A225,Questions!$A$3:$X$333,19,0)&amp;""</f>
        <v>HIPAA</v>
      </c>
      <c r="D225" s="64" t="str">
        <f>VLOOKUP($A225,Questions!$A$3:$X$333,20,0)&amp;""</f>
        <v>Refer to HIPAA documentation or your institution's Chief HIPAA Security Officer.</v>
      </c>
    </row>
    <row r="226" spans="1:5" ht="36" customHeight="1">
      <c r="A226" s="64" t="s">
        <v>643</v>
      </c>
      <c r="B226" s="64" t="str">
        <f>VLOOKUP($A226,Questions!$A$3:$X$333,2,0)&amp;""</f>
        <v>Is there a limit to the number of groups to which a user can be assigned?</v>
      </c>
      <c r="C226" s="64" t="str">
        <f>VLOOKUP($A226,Questions!$A$3:$X$333,19,0)&amp;""</f>
        <v>HIPAA</v>
      </c>
      <c r="D226" s="64" t="str">
        <f>VLOOKUP($A226,Questions!$A$3:$X$333,20,0)&amp;""</f>
        <v>Refer to HIPAA documentation or your institution's Chief HIPAA Security Officer.</v>
      </c>
    </row>
    <row r="227" spans="1:5" ht="30">
      <c r="A227" s="64" t="s">
        <v>645</v>
      </c>
      <c r="B227" s="64" t="str">
        <f>VLOOKUP($A227,Questions!$A$3:$X$333,2,0)&amp;""</f>
        <v>Do accounts used for solution provider-supplied remote support abide by the same authentication policies and access logging as the rest of the system?</v>
      </c>
      <c r="C227" s="64" t="str">
        <f>VLOOKUP($A227,Questions!$A$3:$X$333,19,0)&amp;""</f>
        <v>HIPAA</v>
      </c>
      <c r="D227" s="64" t="str">
        <f>VLOOKUP($A227,Questions!$A$3:$X$333,20,0)&amp;""</f>
        <v>Refer to HIPAA documentation or your institution's Chief HIPAA Security Officer.</v>
      </c>
    </row>
    <row r="228" spans="1:5" ht="34.5" customHeight="1">
      <c r="A228" s="64" t="s">
        <v>646</v>
      </c>
      <c r="B228" s="64" t="str">
        <f>VLOOKUP($A228,Questions!$A$3:$X$333,2,0)&amp;""</f>
        <v>Does the application log record access including specific user, date/time of access, and originating IP or device?</v>
      </c>
      <c r="C228" s="64" t="str">
        <f>VLOOKUP($A228,Questions!$A$3:$X$333,19,0)&amp;""</f>
        <v>HIPAA</v>
      </c>
      <c r="D228" s="64" t="str">
        <f>VLOOKUP($A228,Questions!$A$3:$X$333,20,0)&amp;""</f>
        <v>Refer to HIPAA documentation or your institution's Chief HIPAA Security Officer.</v>
      </c>
      <c r="E228" s="58"/>
    </row>
    <row r="229" spans="1:5" ht="52.5" customHeight="1">
      <c r="A229" s="64" t="s">
        <v>647</v>
      </c>
      <c r="B229" s="64" t="str">
        <f>VLOOKUP($A229,Questions!$A$3:$X$333,2,0)&amp;""</f>
        <v>Does the application log administrative activity, such as user account access changes and password changes, including specific user, date/time of changes, and originating IP or device?</v>
      </c>
      <c r="C229" s="64" t="str">
        <f>VLOOKUP($A229,Questions!$A$3:$X$333,19,0)&amp;""</f>
        <v>HIPAA</v>
      </c>
      <c r="D229" s="64" t="str">
        <f>VLOOKUP($A229,Questions!$A$3:$X$333,20,0)&amp;""</f>
        <v>Refer to HIPAA documentation or your institution's Chief HIPAA Security Officer.</v>
      </c>
    </row>
    <row r="230" spans="1:5" ht="21" customHeight="1">
      <c r="A230" s="64" t="s">
        <v>649</v>
      </c>
      <c r="B230" s="64" t="str">
        <f>VLOOKUP($A230,Questions!$A$3:$X$333,2,0)&amp;""</f>
        <v>Do you retain logs for at least as long as required by HIPAA regulations?</v>
      </c>
      <c r="C230" s="64" t="str">
        <f>VLOOKUP($A230,Questions!$A$3:$X$333,19,0)&amp;""</f>
        <v>HIPAA</v>
      </c>
      <c r="D230" s="64" t="str">
        <f>VLOOKUP($A230,Questions!$A$3:$X$333,20,0)&amp;""</f>
        <v>Refer to HIPAA documentation or your institution's Chief HIPAA Security Officer.</v>
      </c>
    </row>
    <row r="231" spans="1:5" ht="23.25" customHeight="1">
      <c r="A231" s="64" t="s">
        <v>651</v>
      </c>
      <c r="B231" s="64" t="str">
        <f>VLOOKUP($A231,Questions!$A$3:$X$333,2,0)&amp;""</f>
        <v>Can the application logs be archived?</v>
      </c>
      <c r="C231" s="64" t="str">
        <f>VLOOKUP($A231,Questions!$A$3:$X$333,19,0)&amp;""</f>
        <v>HIPAA</v>
      </c>
      <c r="D231" s="64" t="str">
        <f>VLOOKUP($A231,Questions!$A$3:$X$333,20,0)&amp;""</f>
        <v>Refer to HIPAA documentation or your institution's Chief HIPAA Security Officer.</v>
      </c>
    </row>
    <row r="232" spans="1:5" ht="24.75" customHeight="1">
      <c r="A232" s="64" t="s">
        <v>653</v>
      </c>
      <c r="B232" s="64" t="str">
        <f>VLOOKUP($A232,Questions!$A$3:$X$333,2,0)&amp;""</f>
        <v>Can the application logs be saved externally?</v>
      </c>
      <c r="C232" s="64" t="str">
        <f>VLOOKUP($A232,Questions!$A$3:$X$333,19,0)&amp;""</f>
        <v>HIPAA</v>
      </c>
      <c r="D232" s="64" t="str">
        <f>VLOOKUP($A232,Questions!$A$3:$X$333,20,0)&amp;""</f>
        <v>Refer to HIPAA documentation or your institution's Chief HIPAA Security Officer.</v>
      </c>
    </row>
    <row r="233" spans="1:5" ht="39" customHeight="1">
      <c r="A233" s="64" t="s">
        <v>655</v>
      </c>
      <c r="B233" s="64" t="str">
        <f>VLOOKUP($A233,Questions!$A$3:$X$333,2,0)&amp;""</f>
        <v>Do you have a disaster recovery plan and emergency mode operation plan?</v>
      </c>
      <c r="C233" s="64" t="str">
        <f>VLOOKUP($A233,Questions!$A$3:$X$333,19,0)&amp;""</f>
        <v>HIPAA</v>
      </c>
      <c r="D233" s="64" t="str">
        <f>VLOOKUP($A233,Questions!$A$3:$X$333,20,0)&amp;""</f>
        <v>Refer to HIPAA documentation or your institution's Chief HIPAA Security Officer.</v>
      </c>
    </row>
    <row r="234" spans="1:5" ht="23.25" customHeight="1">
      <c r="A234" s="64" t="s">
        <v>656</v>
      </c>
      <c r="B234" s="64" t="str">
        <f>VLOOKUP($A234,Questions!$A$3:$X$333,2,0)&amp;""</f>
        <v>Can you provide a HIPAA compliance attestation document?</v>
      </c>
      <c r="C234" s="64" t="str">
        <f>VLOOKUP($A234,Questions!$A$3:$X$333,19,0)&amp;""</f>
        <v>HIPAA</v>
      </c>
      <c r="D234" s="64" t="str">
        <f>VLOOKUP($A234,Questions!$A$3:$X$333,20,0)&amp;""</f>
        <v>Refer to HIPAA documentation or your institution's Chief HIPAA Security Officer.</v>
      </c>
    </row>
    <row r="235" spans="1:5" ht="22.5" customHeight="1">
      <c r="A235" s="64" t="s">
        <v>658</v>
      </c>
      <c r="B235" s="64" t="str">
        <f>VLOOKUP($A235,Questions!$A$3:$X$333,2,0)&amp;""</f>
        <v>Are you willing to enter into a Business Associate Agreement (BAA)?</v>
      </c>
      <c r="C235" s="64" t="str">
        <f>VLOOKUP($A235,Questions!$A$3:$X$333,19,0)&amp;""</f>
        <v>HIPAA</v>
      </c>
      <c r="D235" s="64" t="str">
        <f>VLOOKUP($A235,Questions!$A$3:$X$333,20,0)&amp;""</f>
        <v>Refer to HIPAA documentation or your institution's Chief HIPAA Security Officer.</v>
      </c>
    </row>
    <row r="236" spans="1:5" ht="33" customHeight="1">
      <c r="A236" s="64" t="s">
        <v>660</v>
      </c>
      <c r="B236" s="64" t="str">
        <f>VLOOKUP($A236,Questions!$A$3:$X$333,2,0)&amp;""</f>
        <v>Do your data backup and retention policies and practices meet HIPAA requirements?</v>
      </c>
      <c r="C236" s="64" t="str">
        <f>VLOOKUP($A236,Questions!$A$3:$X$333,19,0)&amp;""</f>
        <v>HIPAA</v>
      </c>
      <c r="D236" s="64" t="str">
        <f>VLOOKUP($A236,Questions!$A$3:$X$333,20,0)&amp;""</f>
        <v>Refer to HIPAA documentation or your institution's Chief HIPAA Security Officer.</v>
      </c>
      <c r="E236" s="258" t="s">
        <v>1536</v>
      </c>
    </row>
    <row r="237" spans="1:5" ht="19">
      <c r="A237" s="70" t="str">
        <f>VLOOKUP(LEFT($A238,4),'Auto Responses'!$N$4:$O$38,2,0)&amp;""</f>
        <v xml:space="preserve"> Payment Card Industry Data Security Standard (PCI DSS)</v>
      </c>
      <c r="B237" s="70"/>
      <c r="C237" s="63" t="str">
        <f>Questions!$S$2</f>
        <v>Reason for Question</v>
      </c>
      <c r="D237" s="63" t="str">
        <f>Questions!$T$2</f>
        <v>Follow-Up Inquiries/Responses</v>
      </c>
    </row>
    <row r="238" spans="1:5" ht="36" customHeight="1">
      <c r="A238" s="64" t="s">
        <v>661</v>
      </c>
      <c r="B238" s="64" t="str">
        <f>VLOOKUP($A238,Questions!$A$3:$X$333,2,0)&amp;""</f>
        <v>Do you have a current, executed within the past year, Attestation of Compliance (AoC) or Report on Compliance (RoC)?*</v>
      </c>
      <c r="C238" s="64" t="str">
        <f>VLOOKUP($A238,Questions!$A$3:$X$333,19,0)&amp;""</f>
        <v>PCI DSS</v>
      </c>
      <c r="D238" s="64" t="str">
        <f>VLOOKUP($A238,Questions!$A$3:$X$333,20,0)&amp;""</f>
        <v>Refer to PCI DSS documentation or your institution's treasurer's office.</v>
      </c>
    </row>
    <row r="239" spans="1:5" ht="36.75" customHeight="1">
      <c r="A239" s="64" t="s">
        <v>665</v>
      </c>
      <c r="B239" s="64" t="str">
        <f>VLOOKUP($A239,Questions!$A$3:$X$333,2,0)&amp;""</f>
        <v>Is the application listed as an approved Payment Application Data Security Standard (PA-DSS) application?*</v>
      </c>
      <c r="C239" s="64" t="str">
        <f>VLOOKUP($A239,Questions!$A$3:$X$333,19,0)&amp;""</f>
        <v>PCI DSS</v>
      </c>
      <c r="D239" s="64" t="str">
        <f>VLOOKUP($A239,Questions!$A$3:$X$333,20,0)&amp;""</f>
        <v>Refer to PCI DSS documentation or your institution's treasurer's office.</v>
      </c>
    </row>
    <row r="240" spans="1:5" ht="40.5" customHeight="1">
      <c r="A240" s="64" t="s">
        <v>667</v>
      </c>
      <c r="B240" s="64" t="str">
        <f>VLOOKUP($A240,Questions!$A$3:$X$333,2,0)&amp;""</f>
        <v>Does the system or solutions use a third party to collect, store, process, or transmit cardholder (payment/credit/debt card) data?*</v>
      </c>
      <c r="C240" s="64" t="str">
        <f>VLOOKUP($A240,Questions!$A$3:$X$333,19,0)&amp;""</f>
        <v>PCI DSS</v>
      </c>
      <c r="D240" s="64" t="str">
        <f>VLOOKUP($A240,Questions!$A$3:$X$333,20,0)&amp;""</f>
        <v>Refer to PCI DSS documentation or your institution's treasurer's office.</v>
      </c>
    </row>
    <row r="241" spans="1:5" ht="39" customHeight="1">
      <c r="A241" s="64" t="s">
        <v>668</v>
      </c>
      <c r="B241" s="64" t="str">
        <f>VLOOKUP($A241,Questions!$A$3:$X$333,2,0)&amp;""</f>
        <v>Do your systems or solutions store, process, or transmit cardholder (payment/credit/debt card) data?</v>
      </c>
      <c r="C241" s="64" t="str">
        <f>VLOOKUP($A241,Questions!$A$3:$X$333,19,0)&amp;""</f>
        <v>PCI DSS</v>
      </c>
      <c r="D241" s="64" t="str">
        <f>VLOOKUP($A241,Questions!$A$3:$X$333,20,0)&amp;""</f>
        <v>Refer to PCI DSS documentation or your institution's treasurer's office.</v>
      </c>
    </row>
    <row r="242" spans="1:5" ht="38.25" customHeight="1">
      <c r="A242" s="64" t="s">
        <v>670</v>
      </c>
      <c r="B242" s="64" t="str">
        <f>VLOOKUP($A242,Questions!$A$3:$X$333,2,0)&amp;""</f>
        <v>Are you compliant with the Payment Card Industry Data Security Standard (PCI DSS)?</v>
      </c>
      <c r="C242" s="64" t="str">
        <f>VLOOKUP($A242,Questions!$A$3:$X$333,19,0)&amp;""</f>
        <v>PCI DSS</v>
      </c>
      <c r="D242" s="64" t="str">
        <f>VLOOKUP($A242,Questions!$A$3:$X$333,20,0)&amp;""</f>
        <v>Refer to PCI DSS documentation or your institution's treasurer's office.</v>
      </c>
    </row>
    <row r="243" spans="1:5" ht="28.5" customHeight="1">
      <c r="A243" s="64" t="s">
        <v>671</v>
      </c>
      <c r="B243" s="64" t="str">
        <f>VLOOKUP($A243,Questions!$A$3:$X$333,2,0)&amp;""</f>
        <v>Are you classified as a service provider?</v>
      </c>
      <c r="C243" s="64" t="str">
        <f>VLOOKUP($A243,Questions!$A$3:$X$333,19,0)&amp;""</f>
        <v>PCI DSS</v>
      </c>
      <c r="D243" s="64" t="str">
        <f>VLOOKUP($A243,Questions!$A$3:$X$333,20,0)&amp;""</f>
        <v>Refer to PCI DSS documentation or your institution's treasurer's office.</v>
      </c>
    </row>
    <row r="244" spans="1:5" ht="29.25" customHeight="1">
      <c r="A244" s="64" t="s">
        <v>673</v>
      </c>
      <c r="B244" s="64" t="str">
        <f>VLOOKUP($A244,Questions!$A$3:$X$333,2,0)&amp;""</f>
        <v>Are you on the list of Visa approved service providers?</v>
      </c>
      <c r="C244" s="64" t="str">
        <f>VLOOKUP($A244,Questions!$A$3:$X$333,19,0)&amp;""</f>
        <v>PCI DSS</v>
      </c>
      <c r="D244" s="64" t="str">
        <f>VLOOKUP($A244,Questions!$A$3:$X$333,20,0)&amp;""</f>
        <v>Refer to PCI DSS documentation or your institution's treasurer's office.</v>
      </c>
    </row>
    <row r="245" spans="1:5" ht="26.25" customHeight="1">
      <c r="A245" s="64" t="s">
        <v>675</v>
      </c>
      <c r="B245" s="64" t="str">
        <f>VLOOKUP($A245,Questions!$A$3:$X$333,2,0)&amp;""</f>
        <v>Are you classified as a merchant? If so, what level (1, 2, 3, 4)?</v>
      </c>
      <c r="C245" s="64" t="str">
        <f>VLOOKUP($A245,Questions!$A$3:$X$333,19,0)&amp;""</f>
        <v>PCI DSS</v>
      </c>
      <c r="D245" s="64" t="str">
        <f>VLOOKUP($A245,Questions!$A$3:$X$333,20,0)&amp;""</f>
        <v>Refer to PCI DSS documentation or your institution's treasurer's office.</v>
      </c>
    </row>
    <row r="246" spans="1:5" ht="36.75" customHeight="1">
      <c r="A246" s="64" t="s">
        <v>677</v>
      </c>
      <c r="B246" s="64" t="str">
        <f>VLOOKUP($A246,Questions!$A$3:$X$333,2,0)&amp;""</f>
        <v>Describe the architecture employed by the system to verify and authorize credit card transactions.</v>
      </c>
      <c r="C246" s="64" t="str">
        <f>VLOOKUP($A246,Questions!$A$3:$X$333,19,0)&amp;""</f>
        <v>PCI DSS</v>
      </c>
      <c r="D246" s="64" t="str">
        <f>VLOOKUP($A246,Questions!$A$3:$X$333,20,0)&amp;""</f>
        <v>Refer to PCI DSS documentation or your institution's treasurer's office.</v>
      </c>
    </row>
    <row r="247" spans="1:5" ht="22.5" customHeight="1">
      <c r="A247" s="64" t="s">
        <v>678</v>
      </c>
      <c r="B247" s="64" t="str">
        <f>VLOOKUP($A247,Questions!$A$3:$X$333,2,0)&amp;""</f>
        <v>What payment processors/gateways does the system support?</v>
      </c>
      <c r="C247" s="64" t="str">
        <f>VLOOKUP($A247,Questions!$A$3:$X$333,19,0)&amp;""</f>
        <v>PCI DSS</v>
      </c>
      <c r="D247" s="64" t="str">
        <f>VLOOKUP($A247,Questions!$A$3:$X$333,20,0)&amp;""</f>
        <v>Refer to PCI DSS documentation or your institution's treasurer's office.</v>
      </c>
    </row>
    <row r="248" spans="1:5" ht="24.75" customHeight="1">
      <c r="A248" s="64" t="s">
        <v>679</v>
      </c>
      <c r="B248" s="64" t="str">
        <f>VLOOKUP($A248,Questions!$A$3:$X$333,2,0)&amp;""</f>
        <v>Can the application be installed in a PCI DSS–compliant manner?</v>
      </c>
      <c r="C248" s="64" t="str">
        <f>VLOOKUP($A248,Questions!$A$3:$X$333,19,0)&amp;""</f>
        <v>PCI DSS</v>
      </c>
      <c r="D248" s="64" t="str">
        <f>VLOOKUP($A248,Questions!$A$3:$X$333,20,0)&amp;""</f>
        <v>Refer to PCI DSS documentation or your institution's treasurer's office.</v>
      </c>
    </row>
    <row r="249" spans="1:5" ht="51" customHeight="1">
      <c r="A249" s="64" t="s">
        <v>680</v>
      </c>
      <c r="B249" s="64" t="str">
        <f>VLOOKUP($A249,Questions!$A$3:$X$333,2,0)&amp;""</f>
        <v>Include documentation describing the system's abilities to comply with the PCI DSS and any features or capabilities of the system that must be added or changed in order to operate in compliance with the standards.</v>
      </c>
      <c r="C249" s="64" t="str">
        <f>VLOOKUP($A249,Questions!$A$3:$X$333,19,0)&amp;""</f>
        <v>PCI DSS</v>
      </c>
      <c r="D249" s="64" t="str">
        <f>VLOOKUP($A249,Questions!$A$3:$X$333,20,0)&amp;""</f>
        <v>Refer to PCI DSS documentation or your institution's treasurer's office.</v>
      </c>
      <c r="E249" s="258" t="s">
        <v>1536</v>
      </c>
    </row>
    <row r="250" spans="1:5" ht="19">
      <c r="A250" s="70" t="str">
        <f>VLOOKUP(LEFT($A251,4),'Auto Responses'!$N$4:$O$38,2,0)&amp;""</f>
        <v xml:space="preserve"> On-Premises Data Solutions</v>
      </c>
      <c r="B250" s="70"/>
      <c r="C250" s="63" t="str">
        <f>Questions!$S$2</f>
        <v>Reason for Question</v>
      </c>
      <c r="D250" s="63" t="str">
        <f>Questions!$T$2</f>
        <v>Follow-Up Inquiries/Responses</v>
      </c>
    </row>
    <row r="251" spans="1:5" ht="68.25" customHeight="1">
      <c r="A251" s="64" t="s">
        <v>681</v>
      </c>
      <c r="B251" s="64" t="str">
        <f>VLOOKUP($A251,Questions!$A$3:$X$333,2,0)&amp;""</f>
        <v>Do you support role-based access control (RBAC) for system administrators?</v>
      </c>
      <c r="C251" s="64"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64" t="str">
        <f>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spans="1:5" ht="71.25" customHeight="1">
      <c r="A252" s="64" t="s">
        <v>683</v>
      </c>
      <c r="B252" s="64" t="str">
        <f>VLOOKUP($A252,Questions!$A$3:$X$333,2,0)&amp;""</f>
        <v>Can your employees access customer systems remotely?</v>
      </c>
      <c r="C252" s="64"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64" t="str">
        <f>VLOOKUP($A252,Questions!$A$3:$X$333,20,0)&amp;""</f>
        <v>Ask the solution provider to summarize the reasoning behind this business process and request additional documentation that outlines the security controls implemented to safeguard institutional data.</v>
      </c>
    </row>
    <row r="253" spans="1:5" ht="68.25" customHeight="1">
      <c r="A253" s="64" t="s">
        <v>687</v>
      </c>
      <c r="B253" s="64" t="str">
        <f>VLOOKUP($A253,Questions!$A$3:$X$333,2,0)&amp;""</f>
        <v>Can you provide overall system and/or application architecture diagrams including a full description of the data communications architecture for all components of the system?</v>
      </c>
      <c r="C253" s="64" t="str">
        <f>VLOOKUP($A253,Questions!$A$3:$X$333,19,0)&amp;""</f>
        <v>Many systems can be used a variety of ways. We want these implementation type diagrams so that we can understand the "real" use of the solution.</v>
      </c>
      <c r="D253" s="64" t="str">
        <f>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6.5" customHeight="1">
      <c r="A254" s="64" t="s">
        <v>691</v>
      </c>
      <c r="B254" s="64" t="str">
        <f>VLOOKUP($A254,Questions!$A$3:$X$333,2,0)&amp;""</f>
        <v>Do you require remote management of the system?</v>
      </c>
      <c r="C254" s="64"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64" t="str">
        <f>VLOOKUP($A254,Questions!$A$3:$X$333,20,0)&amp;""</f>
        <v>Ask the solution provider to summarize the reasoning behind this business process and request additional documentation that outlines the security controls implemented to safeguard institutional data.</v>
      </c>
    </row>
    <row r="255" spans="1:5" ht="81" customHeight="1">
      <c r="A255" s="64" t="s">
        <v>694</v>
      </c>
      <c r="B255" s="64" t="str">
        <f>VLOOKUP($A255,Questions!$A$3:$X$333,2,0)&amp;""</f>
        <v>If you answered "yes" to OPEM-04, are your remote actions and changes logged or otherwise visible to the campus?</v>
      </c>
      <c r="C255" s="64"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64" t="str">
        <f>VLOOKUP($A255,Questions!$A$3:$X$333,20,0)&amp;""</f>
        <v>If a weak response is given to this answer, it is appropriate to ask directed answers to get specific information. Ensure that questions are targeted to ensure responses will come from the appropriate party within the solution provider.</v>
      </c>
    </row>
    <row r="256" spans="1:5" ht="38.25" customHeight="1">
      <c r="A256" s="64" t="s">
        <v>698</v>
      </c>
      <c r="B256" s="64" t="str">
        <f>VLOOKUP($A256,Questions!$A$3:$X$333,2,0)&amp;""</f>
        <v>If you maintain remote access to the system, will you handle data in a FERPA-compliant manner?</v>
      </c>
      <c r="C256" s="64" t="str">
        <f>VLOOKUP($A256,Questions!$A$3:$X$333,19,0)&amp;""</f>
        <v>This is standard documentation, relevant to institution implementations requiring FERPA compliance.</v>
      </c>
      <c r="D256" s="64" t="str">
        <f>VLOOKUP($A256,Questions!$A$3:$X$333,20,0)&amp;""</f>
        <v>Follow-up inquiries for FERPA compliance details will be institution/implementation specific.</v>
      </c>
    </row>
    <row r="257" spans="1:5" ht="61.5" customHeight="1">
      <c r="A257" s="64" t="s">
        <v>700</v>
      </c>
      <c r="B257" s="64" t="str">
        <f>VLOOKUP($A257,Questions!$A$3:$X$333,2,0)&amp;""</f>
        <v>Do you support campus status monitoring through SNMPv3 or other means?</v>
      </c>
      <c r="C257" s="64" t="str">
        <f>VLOOKUP($A257,Questions!$A$3:$X$333,19,0)&amp;""</f>
        <v>Standard documentation question. With an on-premise device, the possibility to tie-in with existing monitoring/management systems is beneficial. The solution provider's response should be clear and concise.</v>
      </c>
      <c r="D257" s="64" t="str">
        <f>VLOOKUP($A257,Questions!$A$3:$X$333,20,0)&amp;""</f>
        <v>Follow-up inquiries for monitoring via SNMPv3 will be institution/implementation specific.</v>
      </c>
    </row>
    <row r="258" spans="1:5" ht="54" customHeight="1">
      <c r="A258" s="64" t="s">
        <v>703</v>
      </c>
      <c r="B258" s="64" t="str">
        <f>VLOOKUP($A258,Questions!$A$3:$X$333,2,0)&amp;""</f>
        <v>Describe or provide a reference to any other safeguards used to monitor for malicious activity.</v>
      </c>
      <c r="C258" s="64" t="str">
        <f>VLOOKUP($A258,Questions!$A$3:$X$333,19,0)&amp;""</f>
        <v>This question is primarily focused on system(s) integrity and confidentiality. The solution provider's response should clearly state the system(s) capabilities to properly monitor for (and alert for) malicious activity.</v>
      </c>
      <c r="D258" s="64" t="str">
        <f>VLOOKUP($A258,Questions!$A$3:$X$333,20,0)&amp;""</f>
        <v>Follow-up inquiries for system monitoring will be institution/implementation specific.</v>
      </c>
      <c r="E258" s="58"/>
    </row>
    <row r="259" spans="1:5" ht="45">
      <c r="A259" s="64" t="s">
        <v>704</v>
      </c>
      <c r="B259" s="64" t="str">
        <f>VLOOKUP($A259,Questions!$A$3:$X$333,2,0)&amp;""</f>
        <v>Describe how long your organization has conducted business in this area.</v>
      </c>
      <c r="C259" s="64" t="str">
        <f>VLOOKUP($A259,Questions!$A$3:$X$333,19,0)&amp;""</f>
        <v>We want to establish longevity of a solution and whether or not a solution provider is new to the higher education space.</v>
      </c>
      <c r="D259" s="64" t="str">
        <f>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c r="E259" s="58"/>
    </row>
    <row r="260" spans="1:5" ht="60.75" customHeight="1">
      <c r="A260" s="64" t="s">
        <v>709</v>
      </c>
      <c r="B260" s="64" t="str">
        <f>VLOOKUP($A260,Questions!$A$3:$X$333,2,0)&amp;""</f>
        <v>Do you have existing higher education customers?</v>
      </c>
      <c r="C260" s="64"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64" t="str">
        <f>VLOOKUP($A260,Questions!$A$3:$X$333,20,0)&amp;""</f>
        <v>A simple "yes" without any references or supporting information should be questioned. Question the size of institutions that are using the solution and the scope of their implementations.</v>
      </c>
      <c r="E260" s="258" t="s">
        <v>1536</v>
      </c>
    </row>
    <row r="261" spans="1:5" ht="19">
      <c r="A261" s="70" t="str">
        <f>VLOOKUP(LEFT($A262,4),'Auto Responses'!$N$4:$O$38,2,0)&amp;""</f>
        <v xml:space="preserve"> General Privacy</v>
      </c>
      <c r="B261" s="70"/>
      <c r="C261" s="63" t="str">
        <f>Questions!$S$2</f>
        <v>Reason for Question</v>
      </c>
      <c r="D261" s="63" t="str">
        <f>Questions!$T$2</f>
        <v>Follow-Up Inquiries/Responses</v>
      </c>
    </row>
    <row r="262" spans="1:5" ht="21" customHeight="1">
      <c r="A262" s="64" t="s">
        <v>913</v>
      </c>
      <c r="B262" s="64" t="str">
        <f>VLOOKUP($A262,Questions!$A$3:$X$333,2,0)&amp;""</f>
        <v>Does your solution process FERPA-related data?</v>
      </c>
      <c r="C262" s="64" t="str">
        <f>VLOOKUP($A262,Questions!$A$3:$X$333,19,0)&amp;""</f>
        <v/>
      </c>
      <c r="D262" s="64" t="str">
        <f>VLOOKUP($A262,Questions!$A$3:$X$333,20,0)&amp;""</f>
        <v/>
      </c>
    </row>
    <row r="263" spans="1:5" ht="25.5" customHeight="1">
      <c r="A263" s="64" t="s">
        <v>914</v>
      </c>
      <c r="B263" s="64" t="str">
        <f>VLOOKUP($A263,Questions!$A$3:$X$333,2,0)&amp;""</f>
        <v>Does your solution process GDPR-related or PIPL-related data?</v>
      </c>
      <c r="C263" s="64" t="str">
        <f>VLOOKUP($A263,Questions!$A$3:$X$333,19,0)&amp;""</f>
        <v>To be added in a later version</v>
      </c>
      <c r="D263" s="64" t="str">
        <f>VLOOKUP($A263,Questions!$A$3:$X$333,20,0)&amp;""</f>
        <v>To be added in a later version</v>
      </c>
    </row>
    <row r="264" spans="1:5" ht="34.5" customHeight="1">
      <c r="A264" s="64" t="s">
        <v>915</v>
      </c>
      <c r="B264" s="64" t="str">
        <f>VLOOKUP($A264,Questions!$A$3:$X$333,2,0)&amp;""</f>
        <v>Does your solution process personal data regulated by state law(s) (e.g., CCPA)?</v>
      </c>
      <c r="C264" s="64" t="str">
        <f>VLOOKUP($A264,Questions!$A$3:$X$333,19,0)&amp;""</f>
        <v/>
      </c>
      <c r="D264" s="64" t="str">
        <f>VLOOKUP($A264,Questions!$A$3:$X$333,20,0)&amp;""</f>
        <v/>
      </c>
    </row>
    <row r="265" spans="1:5" ht="33" customHeight="1">
      <c r="A265" s="64" t="s">
        <v>916</v>
      </c>
      <c r="B265" s="64" t="str">
        <f>VLOOKUP($A265,Questions!$A$3:$X$333,2,0)&amp;""</f>
        <v>Does your solution process user-provided data that may contain regulated information?</v>
      </c>
      <c r="C265" s="64" t="str">
        <f>VLOOKUP($A265,Questions!$A$3:$X$333,19,0)&amp;""</f>
        <v/>
      </c>
      <c r="D265" s="64" t="str">
        <f>VLOOKUP($A265,Questions!$A$3:$X$333,20,0)&amp;""</f>
        <v/>
      </c>
    </row>
    <row r="266" spans="1:5" ht="24.75" customHeight="1">
      <c r="A266" s="64" t="s">
        <v>917</v>
      </c>
      <c r="B266" s="64" t="str">
        <f>VLOOKUP($A266,Questions!$A$3:$X$333,2,0)&amp;""</f>
        <v>Web Link to Product/Service Privacy Notice</v>
      </c>
      <c r="C266" s="64" t="str">
        <f>VLOOKUP($A266,Questions!$A$3:$X$333,19,0)&amp;""</f>
        <v/>
      </c>
      <c r="D266" s="64" t="str">
        <f>VLOOKUP($A266,Questions!$A$3:$X$333,20,0)&amp;""</f>
        <v/>
      </c>
      <c r="E266" s="258" t="s">
        <v>1536</v>
      </c>
    </row>
    <row r="267" spans="1:5" ht="19">
      <c r="A267" s="70" t="str">
        <f>VLOOKUP(LEFT($A268,4),'Auto Responses'!$N$4:$O$38,2,0)&amp;""</f>
        <v xml:space="preserve"> Privacy-Specific Company Details</v>
      </c>
      <c r="B267" s="70"/>
      <c r="C267" s="63" t="str">
        <f>Questions!$S$2</f>
        <v>Reason for Question</v>
      </c>
      <c r="D267" s="63" t="str">
        <f>Questions!$T$2</f>
        <v>Follow-Up Inquiries/Responses</v>
      </c>
    </row>
    <row r="268" spans="1:5" ht="60" customHeight="1">
      <c r="A268" s="64" t="s">
        <v>714</v>
      </c>
      <c r="B268" s="64" t="str">
        <f>VLOOKUP($A268,Questions!$A$3:$X$333,2,0)&amp;""</f>
        <v>Have you had a personal data breach in the past three years that involved reporting to a governmental agency, notice to individuals (including voluntary notice), or notice to another organization or institution?*</v>
      </c>
      <c r="C268" s="64" t="str">
        <f>VLOOKUP($A268,Questions!$A$3:$X$333,19,0)&amp;""</f>
        <v>To be added in a later version</v>
      </c>
      <c r="D268" s="64" t="str">
        <f>VLOOKUP($A268,Questions!$A$3:$X$333,20,0)&amp;""</f>
        <v>To be added in a later version</v>
      </c>
    </row>
    <row r="269" spans="1:5" ht="36.75" customHeight="1">
      <c r="A269" s="64" t="s">
        <v>717</v>
      </c>
      <c r="B269" s="64" t="str">
        <f>VLOOKUP($A269,Questions!$A$3:$X$333,2,0)&amp;""</f>
        <v>Use this area to share information about your privacy practices that will assist those who are assessing your company data privacy program.*</v>
      </c>
      <c r="C269" s="64" t="str">
        <f>VLOOKUP($A269,Questions!$A$3:$X$333,19,0)&amp;""</f>
        <v/>
      </c>
      <c r="D269" s="64" t="str">
        <f>VLOOKUP($A269,Questions!$A$3:$X$333,20,0)&amp;""</f>
        <v/>
      </c>
    </row>
    <row r="270" spans="1:5" ht="35.25" customHeight="1">
      <c r="A270" s="64" t="s">
        <v>719</v>
      </c>
      <c r="B270" s="64" t="str">
        <f>VLOOKUP($A270,Questions!$A$3:$X$333,2,0)&amp;""</f>
        <v>Have you had any data privacy policy or law violations in the past 36 months?</v>
      </c>
      <c r="C270" s="64" t="str">
        <f>VLOOKUP($A270,Questions!$A$3:$X$333,19,0)&amp;""</f>
        <v/>
      </c>
      <c r="D270" s="64" t="str">
        <f>VLOOKUP($A270,Questions!$A$3:$X$333,20,0)&amp;""</f>
        <v/>
      </c>
    </row>
    <row r="271" spans="1:5" ht="21.75" customHeight="1">
      <c r="A271" s="64" t="s">
        <v>722</v>
      </c>
      <c r="B271" s="64" t="str">
        <f>VLOOKUP($A271,Questions!$A$3:$X$333,2,0)&amp;""</f>
        <v>Do you have a dedicated data privacy staff or office?</v>
      </c>
      <c r="C271" s="64" t="str">
        <f>VLOOKUP($A271,Questions!$A$3:$X$333,19,0)&amp;""</f>
        <v/>
      </c>
      <c r="D271" s="64" t="str">
        <f>VLOOKUP($A271,Questions!$A$3:$X$333,20,0)&amp;""</f>
        <v/>
      </c>
      <c r="E271" s="258" t="s">
        <v>1536</v>
      </c>
    </row>
    <row r="272" spans="1:5" ht="19">
      <c r="A272" s="70" t="str">
        <f>VLOOKUP(LEFT($A273,4),'Auto Responses'!$N$4:$O$38,2,0)&amp;""</f>
        <v xml:space="preserve"> Privacy-Specific Documentation</v>
      </c>
      <c r="B272" s="70"/>
      <c r="C272" s="63" t="str">
        <f>Questions!$S$2</f>
        <v>Reason for Question</v>
      </c>
      <c r="D272" s="63" t="str">
        <f>Questions!$T$2</f>
        <v>Follow-Up Inquiries/Responses</v>
      </c>
    </row>
    <row r="273" spans="1:5" ht="36" customHeight="1">
      <c r="A273" s="64" t="s">
        <v>723</v>
      </c>
      <c r="B273" s="64" t="str">
        <f>VLOOKUP($A273,Questions!$A$3:$X$333,2,0)&amp;""</f>
        <v>If you have completed a SOC 2 audit, does it include the Privacy Trust Service Principle?</v>
      </c>
      <c r="C273" s="64" t="str">
        <f>VLOOKUP($A273,Questions!$A$3:$X$333,19,0)&amp;""</f>
        <v>To be added in a later version</v>
      </c>
      <c r="D273" s="64" t="str">
        <f>VLOOKUP($A273,Questions!$A$3:$X$333,20,0)&amp;""</f>
        <v>To be added in a later version</v>
      </c>
    </row>
    <row r="274" spans="1:5" ht="38.25" customHeight="1">
      <c r="A274" s="64" t="s">
        <v>724</v>
      </c>
      <c r="B274" s="64" t="str">
        <f>VLOOKUP($A274,Questions!$A$3:$X$333,2,0)&amp;""</f>
        <v>Do you conform with a specific industry-standard privacy framework (e.g., NIST Privacy Framework, GDPR, ISO 27701)?</v>
      </c>
      <c r="C274" s="64" t="str">
        <f>VLOOKUP($A274,Questions!$A$3:$X$333,19,0)&amp;""</f>
        <v/>
      </c>
      <c r="D274" s="64" t="str">
        <f>VLOOKUP($A274,Questions!$A$3:$X$333,20,0)&amp;""</f>
        <v/>
      </c>
    </row>
    <row r="275" spans="1:5" ht="39" customHeight="1">
      <c r="A275" s="64" t="s">
        <v>726</v>
      </c>
      <c r="B275" s="64" t="str">
        <f>VLOOKUP($A275,Questions!$A$3:$X$333,2,0)&amp;""</f>
        <v>Does your employee onboarding and offboarding policy include training of employees on information security and data privacy?</v>
      </c>
      <c r="C275" s="64" t="str">
        <f>VLOOKUP($A275,Questions!$A$3:$X$333,19,0)&amp;""</f>
        <v/>
      </c>
      <c r="D275" s="64" t="str">
        <f>VLOOKUP($A275,Questions!$A$3:$X$333,20,0)&amp;""</f>
        <v/>
      </c>
      <c r="E275" s="258" t="s">
        <v>1536</v>
      </c>
    </row>
    <row r="276" spans="1:5" ht="19">
      <c r="A276" s="70" t="str">
        <f>VLOOKUP(LEFT($A277,4),'Auto Responses'!$N$4:$O$38,2,0)&amp;""</f>
        <v xml:space="preserve"> Privacy of Third Parties</v>
      </c>
      <c r="B276" s="70"/>
      <c r="C276" s="63" t="str">
        <f>Questions!$S$2</f>
        <v>Reason for Question</v>
      </c>
      <c r="D276" s="63" t="str">
        <f>Questions!$T$2</f>
        <v>Follow-Up Inquiries/Responses</v>
      </c>
    </row>
    <row r="277" spans="1:5" ht="50.25" customHeight="1">
      <c r="A277" s="64" t="s">
        <v>728</v>
      </c>
      <c r="B277" s="64" t="str">
        <f>VLOOKUP($A277,Questions!$A$3:$X$333,2,0)&amp;""</f>
        <v>Do you have contractual agreements with third parties that require them to maintain standards and to comply with all regulatory requirements?*</v>
      </c>
      <c r="C277" s="64" t="str">
        <f>VLOOKUP($A277,Questions!$A$3:$X$333,19,0)&amp;""</f>
        <v>To be added in a later version</v>
      </c>
      <c r="D277" s="64" t="str">
        <f>VLOOKUP($A277,Questions!$A$3:$X$333,20,0)&amp;""</f>
        <v>To be added in a later version</v>
      </c>
    </row>
    <row r="278" spans="1:5" ht="60.75" customHeight="1">
      <c r="A278" s="64" t="s">
        <v>732</v>
      </c>
      <c r="B278" s="64" t="str">
        <f>VLOOKUP($A278,Questions!$A$3:$X$333,2,0)&amp;""</f>
        <v xml:space="preserve">Do you perform privacy impact assesments of third parties that collect, process, or have access to personal data to ensure they meet industry and regulatory standards and to mitigate harmful, unethical, or discriminatory impacts on data subjects? </v>
      </c>
      <c r="C278" s="64" t="str">
        <f>VLOOKUP($A278,Questions!$A$3:$X$333,19,0)&amp;""</f>
        <v/>
      </c>
      <c r="D278" s="64" t="str">
        <f>VLOOKUP($A278,Questions!$A$3:$X$333,20,0)&amp;""</f>
        <v/>
      </c>
      <c r="E278" s="258" t="s">
        <v>1536</v>
      </c>
    </row>
    <row r="279" spans="1:5" ht="19">
      <c r="A279" s="70" t="str">
        <f>VLOOKUP(LEFT($A280,4),'Auto Responses'!$N$4:$O$38,2,0)&amp;""</f>
        <v xml:space="preserve"> Privacy Change Management</v>
      </c>
      <c r="B279" s="70"/>
      <c r="C279" s="63" t="str">
        <f>Questions!$S$2</f>
        <v>Reason for Question</v>
      </c>
      <c r="D279" s="63" t="str">
        <f>Questions!$T$2</f>
        <v>Follow-Up Inquiries/Responses</v>
      </c>
    </row>
    <row r="280" spans="1:5" ht="39" customHeight="1">
      <c r="A280" s="64" t="s">
        <v>733</v>
      </c>
      <c r="B280" s="64" t="str">
        <f>VLOOKUP($A280,Questions!$A$3:$X$333,2,0)&amp;""</f>
        <v>Does your change management process include privacy review and approval?</v>
      </c>
      <c r="C280" s="64" t="str">
        <f>VLOOKUP($A280,Questions!$A$3:$X$333,19,0)&amp;""</f>
        <v>To be added in a later version</v>
      </c>
      <c r="D280" s="64" t="str">
        <f>VLOOKUP($A280,Questions!$A$3:$X$333,20,0)&amp;""</f>
        <v>To be added in a later version</v>
      </c>
    </row>
    <row r="281" spans="1:5" ht="38.25" customHeight="1">
      <c r="A281" s="64" t="s">
        <v>736</v>
      </c>
      <c r="B281" s="64" t="str">
        <f>VLOOKUP($A281,Questions!$A$3:$X$333,2,0)&amp;""</f>
        <v>Do you have policy and procedure, currently implemented, guiding how privacy risks are mitigated until they can be resolved?</v>
      </c>
      <c r="C281" s="64" t="str">
        <f>VLOOKUP($A281,Questions!$A$3:$X$333,19,0)&amp;""</f>
        <v/>
      </c>
      <c r="D281" s="64" t="str">
        <f>VLOOKUP($A281,Questions!$A$3:$X$333,20,0)&amp;""</f>
        <v/>
      </c>
      <c r="E281" s="258" t="s">
        <v>1536</v>
      </c>
    </row>
    <row r="282" spans="1:5" ht="19">
      <c r="A282" s="70" t="str">
        <f>VLOOKUP(LEFT($A283,4),'Auto Responses'!$N$4:$O$38,2,0)&amp;""</f>
        <v xml:space="preserve"> Privacy of Sensitive Data</v>
      </c>
      <c r="B282" s="70"/>
      <c r="C282" s="63" t="str">
        <f>Questions!$S$2</f>
        <v>Reason for Question</v>
      </c>
      <c r="D282" s="63" t="str">
        <f>Questions!$T$2</f>
        <v>Follow-Up Inquiries/Responses</v>
      </c>
    </row>
    <row r="283" spans="1:5" ht="40.5" customHeight="1">
      <c r="A283" s="64" t="s">
        <v>738</v>
      </c>
      <c r="B283" s="64" t="str">
        <f>VLOOKUP($A283,Questions!$A$3:$X$333,2,0)&amp;""</f>
        <v>Do you collect, process, or store demographic information?*</v>
      </c>
      <c r="C283" s="64" t="str">
        <f>VLOOKUP($A283,Questions!$A$3:$X$333,19,0)&amp;""</f>
        <v>To be added in a later version</v>
      </c>
      <c r="D283" s="64" t="str">
        <f>VLOOKUP($A283,Questions!$A$3:$X$333,20,0)&amp;""</f>
        <v>To be added in a later version</v>
      </c>
    </row>
    <row r="284" spans="1:5" ht="39" customHeight="1">
      <c r="A284" s="64" t="s">
        <v>740</v>
      </c>
      <c r="B284" s="64" t="str">
        <f>VLOOKUP($A284,Questions!$A$3:$X$333,2,0)&amp;""</f>
        <v>Do you capture or create genetic, biometric, or behaviometric information (e.g.,  facial recognition or fingerprints)?*</v>
      </c>
      <c r="C284" s="64" t="str">
        <f>VLOOKUP($A284,Questions!$A$3:$X$333,19,0)&amp;""</f>
        <v/>
      </c>
      <c r="D284" s="64" t="str">
        <f>VLOOKUP($A284,Questions!$A$3:$X$333,20,0)&amp;""</f>
        <v/>
      </c>
    </row>
    <row r="285" spans="1:5" ht="50.25" customHeight="1">
      <c r="A285" s="64" t="s">
        <v>743</v>
      </c>
      <c r="B285" s="64" t="str">
        <f>VLOOKUP($A285,Questions!$A$3:$X$333,2,0)&amp;""</f>
        <v>Do you combine institutional data (including "de-identified," "anonymized," or otherwise masked data) with personal data from any other sources?*</v>
      </c>
      <c r="C285" s="64" t="str">
        <f>VLOOKUP($A285,Questions!$A$3:$X$333,19,0)&amp;""</f>
        <v/>
      </c>
      <c r="D285" s="64" t="str">
        <f>VLOOKUP($A285,Questions!$A$3:$X$333,20,0)&amp;""</f>
        <v/>
      </c>
    </row>
    <row r="286" spans="1:5" ht="36" customHeight="1">
      <c r="A286" s="64" t="s">
        <v>745</v>
      </c>
      <c r="B286" s="64" t="str">
        <f>VLOOKUP($A286,Questions!$A$3:$X$333,2,0)&amp;""</f>
        <v>Is institutional data coming into or going out of the United States at any point during collection, processing, storage, or archiving?</v>
      </c>
      <c r="C286" s="64" t="str">
        <f>VLOOKUP($A286,Questions!$A$3:$X$333,19,0)&amp;""</f>
        <v/>
      </c>
      <c r="D286" s="64" t="str">
        <f>VLOOKUP($A286,Questions!$A$3:$X$333,20,0)&amp;""</f>
        <v/>
      </c>
    </row>
    <row r="287" spans="1:5" s="64" customFormat="1" ht="18.75" customHeight="1">
      <c r="A287" s="64" t="s">
        <v>747</v>
      </c>
      <c r="B287" s="64" t="str">
        <f>VLOOKUP($A287,Questions!$A$3:$X$333,2,0)&amp;""</f>
        <v>Do you capture device information (e.g., IP address, MAC address)?</v>
      </c>
      <c r="C287" s="64" t="str">
        <f>VLOOKUP($A287,Questions!$A$3:$X$333,19,0)&amp;""</f>
        <v/>
      </c>
      <c r="D287" s="64" t="str">
        <f>VLOOKUP($A287,Questions!$A$3:$X$333,20,0)&amp;""</f>
        <v/>
      </c>
    </row>
    <row r="288" spans="1:5" s="64" customFormat="1" ht="34.5" customHeight="1">
      <c r="A288" s="64" t="s">
        <v>748</v>
      </c>
      <c r="B288" s="64" t="str">
        <f>VLOOKUP($A288,Questions!$A$3:$X$333,2,0)&amp;""</f>
        <v>Does any part of this service/project involve a web/app tracking component (e.g., use of web-tracking pixels, cookies)?</v>
      </c>
      <c r="C288" s="64" t="str">
        <f>VLOOKUP($A288,Questions!$A$3:$X$333,19,0)&amp;""</f>
        <v/>
      </c>
      <c r="D288" s="64" t="str">
        <f>VLOOKUP($A288,Questions!$A$3:$X$333,20,0)&amp;""</f>
        <v/>
      </c>
    </row>
    <row r="289" spans="1:5" ht="36.75" customHeight="1">
      <c r="A289" s="64" t="s">
        <v>749</v>
      </c>
      <c r="B289" s="64" t="str">
        <f>VLOOKUP($A289,Questions!$A$3:$X$333,2,0)&amp;""</f>
        <v>Does your staff (or a third party) have access to institutional data (e.g., financial, PHI, or other sensitive information) through any means?</v>
      </c>
      <c r="C289" s="64" t="str">
        <f>VLOOKUP($A289,Questions!$A$3:$X$333,19,0)&amp;""</f>
        <v/>
      </c>
      <c r="D289" s="64" t="str">
        <f>VLOOKUP($A289,Questions!$A$3:$X$333,20,0)&amp;""</f>
        <v/>
      </c>
    </row>
    <row r="290" spans="1:5" ht="36.75" customHeight="1">
      <c r="A290" s="64" t="s">
        <v>751</v>
      </c>
      <c r="B290" s="64" t="str">
        <f>VLOOKUP($A290,Questions!$A$3:$X$333,2,0)&amp;""</f>
        <v>Will you handle personal data in a manner compliant with all relevant laws, regulations, and applicable institution policies?</v>
      </c>
      <c r="C290" s="64" t="str">
        <f>VLOOKUP($A290,Questions!$A$3:$X$333,19,0)&amp;""</f>
        <v/>
      </c>
      <c r="D290" s="64" t="str">
        <f>VLOOKUP($A290,Questions!$A$3:$X$333,20,0)&amp;""</f>
        <v/>
      </c>
      <c r="E290" s="258" t="s">
        <v>1536</v>
      </c>
    </row>
    <row r="291" spans="1:5" ht="19">
      <c r="A291" s="70" t="str">
        <f>VLOOKUP(LEFT($A292,4),'Auto Responses'!$N$4:$O$38,2,0)&amp;""</f>
        <v xml:space="preserve"> Privacy Policies and Procedures</v>
      </c>
      <c r="B291" s="70"/>
      <c r="C291" s="63" t="str">
        <f>Questions!$S$2</f>
        <v>Reason for Question</v>
      </c>
      <c r="D291" s="63" t="str">
        <f>Questions!$T$2</f>
        <v>Follow-Up Inquiries/Responses</v>
      </c>
    </row>
    <row r="292" spans="1:5" ht="19.5" customHeight="1">
      <c r="A292" s="64" t="s">
        <v>752</v>
      </c>
      <c r="B292" s="64" t="str">
        <f>VLOOKUP($A292,Questions!$A$3:$X$333,2,0)&amp;""</f>
        <v>Do you have a documented privacy management process?</v>
      </c>
      <c r="C292" s="64" t="str">
        <f>VLOOKUP($A292,Questions!$A$3:$X$333,19,0)&amp;""</f>
        <v>To be added in a later version</v>
      </c>
      <c r="D292" s="64" t="str">
        <f>VLOOKUP($A292,Questions!$A$3:$X$333,20,0)&amp;""</f>
        <v>To be added in a later version</v>
      </c>
    </row>
    <row r="293" spans="1:5" ht="36.75" customHeight="1">
      <c r="A293" s="64" t="s">
        <v>756</v>
      </c>
      <c r="B293" s="64" t="str">
        <f>VLOOKUP($A293,Questions!$A$3:$X$333,2,0)&amp;""</f>
        <v>Are privacy principles designed into the product lifecycle (i.e., privacy-by-design)?</v>
      </c>
      <c r="C293" s="64" t="str">
        <f>VLOOKUP($A293,Questions!$A$3:$X$333,19,0)&amp;""</f>
        <v/>
      </c>
      <c r="D293" s="64" t="str">
        <f>VLOOKUP($A293,Questions!$A$3:$X$333,20,0)&amp;""</f>
        <v/>
      </c>
    </row>
    <row r="294" spans="1:5" ht="21" customHeight="1">
      <c r="A294" s="64" t="s">
        <v>759</v>
      </c>
      <c r="B294" s="64" t="str">
        <f>VLOOKUP($A294,Questions!$A$3:$X$333,2,0)&amp;""</f>
        <v>Will you comply with applicable breach notification laws?</v>
      </c>
      <c r="C294" s="64" t="str">
        <f>VLOOKUP($A294,Questions!$A$3:$X$333,19,0)&amp;""</f>
        <v/>
      </c>
      <c r="D294" s="64" t="str">
        <f>VLOOKUP($A294,Questions!$A$3:$X$333,20,0)&amp;""</f>
        <v/>
      </c>
    </row>
    <row r="295" spans="1:5" ht="34.5" customHeight="1">
      <c r="A295" s="64" t="s">
        <v>762</v>
      </c>
      <c r="B295" s="64" t="str">
        <f>VLOOKUP($A295,Questions!$A$3:$X$333,2,0)&amp;""</f>
        <v>Will you comply with the institution's policies regarding user privacy and data protection?</v>
      </c>
      <c r="C295" s="64" t="str">
        <f>VLOOKUP($A295,Questions!$A$3:$X$333,19,0)&amp;""</f>
        <v/>
      </c>
      <c r="D295" s="64" t="str">
        <f>VLOOKUP($A295,Questions!$A$3:$X$333,20,0)&amp;""</f>
        <v/>
      </c>
    </row>
    <row r="296" spans="1:5" ht="40.5" customHeight="1">
      <c r="A296" s="64" t="s">
        <v>764</v>
      </c>
      <c r="B296" s="64" t="str">
        <f>VLOOKUP($A296,Questions!$A$3:$X$333,2,0)&amp;""</f>
        <v>Is your company subject to the laws and regulations of the institution's geographic region?</v>
      </c>
      <c r="C296" s="64" t="str">
        <f>VLOOKUP($A296,Questions!$A$3:$X$333,19,0)&amp;""</f>
        <v/>
      </c>
      <c r="D296" s="64" t="str">
        <f>VLOOKUP($A296,Questions!$A$3:$X$333,20,0)&amp;""</f>
        <v/>
      </c>
    </row>
    <row r="297" spans="1:5" ht="21.75" customHeight="1">
      <c r="A297" s="64" t="s">
        <v>766</v>
      </c>
      <c r="B297" s="64" t="str">
        <f>VLOOKUP($A297,Questions!$A$3:$X$333,2,0)&amp;""</f>
        <v>Do you have a privacy awareness/training program?*</v>
      </c>
      <c r="C297" s="64" t="str">
        <f>VLOOKUP($A297,Questions!$A$3:$X$333,19,0)&amp;""</f>
        <v/>
      </c>
      <c r="D297" s="64" t="str">
        <f>VLOOKUP($A297,Questions!$A$3:$X$333,20,0)&amp;""</f>
        <v/>
      </c>
    </row>
    <row r="298" spans="1:5" ht="27.75" customHeight="1">
      <c r="A298" s="64" t="s">
        <v>768</v>
      </c>
      <c r="B298" s="64" t="str">
        <f>VLOOKUP($A298,Questions!$A$3:$X$333,2,0)&amp;""</f>
        <v>Is privacy awareness training mandatory for all employees?</v>
      </c>
      <c r="C298" s="64" t="str">
        <f>VLOOKUP($A298,Questions!$A$3:$X$333,19,0)&amp;""</f>
        <v/>
      </c>
      <c r="D298" s="64" t="str">
        <f>VLOOKUP($A298,Questions!$A$3:$X$333,20,0)&amp;""</f>
        <v/>
      </c>
    </row>
    <row r="299" spans="1:5" ht="36" customHeight="1">
      <c r="A299" s="64" t="s">
        <v>772</v>
      </c>
      <c r="B299" s="64" t="str">
        <f>VLOOKUP($A299,Questions!$A$3:$X$333,2,0)&amp;""</f>
        <v>Is AI privacy and ethics awareness/training required for all employees who work with AI?</v>
      </c>
      <c r="C299" s="64" t="str">
        <f>VLOOKUP($A299,Questions!$A$3:$X$333,19,0)&amp;""</f>
        <v/>
      </c>
      <c r="D299" s="64" t="str">
        <f>VLOOKUP($A299,Questions!$A$3:$X$333,20,0)&amp;""</f>
        <v/>
      </c>
    </row>
    <row r="300" spans="1:5" ht="32.25" customHeight="1">
      <c r="A300" s="64" t="s">
        <v>775</v>
      </c>
      <c r="B300" s="64" t="str">
        <f>VLOOKUP($A300,Questions!$A$3:$X$333,2,0)&amp;""</f>
        <v>Do you have any decision-making processes that are completely automated (i.e., there is no human involvement)?</v>
      </c>
      <c r="C300" s="64" t="str">
        <f>VLOOKUP($A300,Questions!$A$3:$X$333,19,0)&amp;""</f>
        <v/>
      </c>
      <c r="D300" s="64" t="str">
        <f>VLOOKUP($A300,Questions!$A$3:$X$333,20,0)&amp;""</f>
        <v/>
      </c>
    </row>
    <row r="301" spans="1:5" ht="48" customHeight="1">
      <c r="A301" s="64" t="s">
        <v>777</v>
      </c>
      <c r="B301" s="64" t="str">
        <f>VLOOKUP($A301,Questions!$A$3:$X$333,2,0)&amp;""</f>
        <v>Do you have a documented process for managing automated processing, including validations, monitoring, and data subject requests?</v>
      </c>
      <c r="C301" s="64" t="str">
        <f>VLOOKUP($A301,Questions!$A$3:$X$333,19,0)&amp;""</f>
        <v/>
      </c>
      <c r="D301" s="64" t="str">
        <f>VLOOKUP($A301,Questions!$A$3:$X$333,20,0)&amp;""</f>
        <v/>
      </c>
    </row>
    <row r="302" spans="1:5" ht="39" customHeight="1">
      <c r="A302" s="64" t="s">
        <v>780</v>
      </c>
      <c r="B302" s="64" t="str">
        <f>VLOOKUP($A302,Questions!$A$3:$X$333,2,0)&amp;""</f>
        <v>Do you have a documented policy for sharing information with law enforcement?</v>
      </c>
      <c r="C302" s="64" t="str">
        <f>VLOOKUP($A302,Questions!$A$3:$X$333,19,0)&amp;""</f>
        <v/>
      </c>
      <c r="D302" s="64" t="str">
        <f>VLOOKUP($A302,Questions!$A$3:$X$333,20,0)&amp;""</f>
        <v/>
      </c>
    </row>
    <row r="303" spans="1:5" ht="33" customHeight="1">
      <c r="A303" s="64" t="s">
        <v>783</v>
      </c>
      <c r="B303" s="64" t="str">
        <f>VLOOKUP($A303,Questions!$A$3:$X$333,2,0)&amp;""</f>
        <v>Do you share any institutional data with law enforcement without a valid warrant?*</v>
      </c>
      <c r="C303" s="64" t="str">
        <f>VLOOKUP($A303,Questions!$A$3:$X$333,19,0)&amp;""</f>
        <v/>
      </c>
      <c r="D303" s="64" t="str">
        <f>VLOOKUP($A303,Questions!$A$3:$X$333,20,0)&amp;""</f>
        <v/>
      </c>
    </row>
    <row r="304" spans="1:5" ht="24.75" customHeight="1">
      <c r="A304" s="64" t="s">
        <v>785</v>
      </c>
      <c r="B304" s="64" t="str">
        <f>VLOOKUP($A304,Questions!$A$3:$X$333,2,0)&amp;""</f>
        <v>Does your incident response team include a privacy analyst/officer?</v>
      </c>
      <c r="C304" s="64" t="str">
        <f>VLOOKUP($A304,Questions!$A$3:$X$333,19,0)&amp;""</f>
        <v/>
      </c>
      <c r="D304" s="64" t="str">
        <f>VLOOKUP($A304,Questions!$A$3:$X$333,20,0)&amp;""</f>
        <v/>
      </c>
      <c r="E304" s="258" t="s">
        <v>1536</v>
      </c>
    </row>
    <row r="305" spans="1:5" ht="19">
      <c r="A305" s="70" t="str">
        <f>VLOOKUP(LEFT($A306,4),'Auto Responses'!$N$4:$O$38,2,0)&amp;""</f>
        <v xml:space="preserve"> International Privacy</v>
      </c>
      <c r="B305" s="70"/>
      <c r="C305" s="63" t="str">
        <f>Questions!$S$2</f>
        <v>Reason for Question</v>
      </c>
      <c r="D305" s="63" t="str">
        <f>Questions!$T$2</f>
        <v>Follow-Up Inquiries/Responses</v>
      </c>
    </row>
    <row r="306" spans="1:5" ht="31.5" customHeight="1">
      <c r="A306" s="64" t="s">
        <v>787</v>
      </c>
      <c r="B306" s="64" t="str">
        <f>VLOOKUP($A306,Questions!$A$3:$X$333,2,0)&amp;""</f>
        <v>Will data be collected from or processed in or stored in the European Economic Area (EEA)?</v>
      </c>
      <c r="C306" s="64" t="str">
        <f>VLOOKUP($A306,Questions!$A$3:$X$333,19,0)&amp;""</f>
        <v>To be added in a later version</v>
      </c>
      <c r="D306" s="64" t="str">
        <f>VLOOKUP($A306,Questions!$A$3:$X$333,20,0)&amp;""</f>
        <v>To be added in a later version</v>
      </c>
    </row>
    <row r="307" spans="1:5" ht="24.75" customHeight="1">
      <c r="A307" s="64" t="s">
        <v>790</v>
      </c>
      <c r="B307" s="64" t="str">
        <f>VLOOKUP($A307,Questions!$A$3:$X$333,2,0)&amp;""</f>
        <v>Do you have a data protection officer (DPO)?</v>
      </c>
      <c r="C307" s="64" t="str">
        <f>VLOOKUP($A307,Questions!$A$3:$X$333,19,0)&amp;""</f>
        <v/>
      </c>
      <c r="D307" s="64" t="str">
        <f>VLOOKUP($A307,Questions!$A$3:$X$333,20,0)&amp;""</f>
        <v/>
      </c>
    </row>
    <row r="308" spans="1:5" ht="33" customHeight="1">
      <c r="A308" s="64" t="s">
        <v>792</v>
      </c>
      <c r="B308" s="64" t="str">
        <f>VLOOKUP($A308,Questions!$A$3:$X$333,2,0)&amp;""</f>
        <v>Will you sign appropriate GDPR Standard Contractual Clauses (SCCs) with the institution?</v>
      </c>
      <c r="C308" s="64" t="str">
        <f>VLOOKUP($A308,Questions!$A$3:$X$333,19,0)&amp;""</f>
        <v/>
      </c>
      <c r="D308" s="64" t="str">
        <f>VLOOKUP($A308,Questions!$A$3:$X$333,20,0)&amp;""</f>
        <v/>
      </c>
    </row>
    <row r="309" spans="1:5" ht="22.5" customHeight="1">
      <c r="A309" s="64" t="s">
        <v>794</v>
      </c>
      <c r="B309" s="64" t="str">
        <f>VLOOKUP($A309,Questions!$A$3:$X$333,2,0)&amp;""</f>
        <v>Will data be collected from or processed in or stored in China?</v>
      </c>
      <c r="C309" s="64" t="str">
        <f>VLOOKUP($A309,Questions!$A$3:$X$333,19,0)&amp;""</f>
        <v/>
      </c>
      <c r="D309" s="64" t="str">
        <f>VLOOKUP($A309,Questions!$A$3:$X$333,20,0)&amp;""</f>
        <v/>
      </c>
    </row>
    <row r="310" spans="1:5" ht="34.5" customHeight="1">
      <c r="A310" s="64" t="s">
        <v>797</v>
      </c>
      <c r="B310" s="64" t="str">
        <f>VLOOKUP($A310,Questions!$A$3:$X$333,2,0)&amp;""</f>
        <v>Do you comply with PIPL security, privacy, and data localization requirements?</v>
      </c>
      <c r="C310" s="64" t="str">
        <f>VLOOKUP($A310,Questions!$A$3:$X$333,19,0)&amp;""</f>
        <v/>
      </c>
      <c r="D310" s="64" t="str">
        <f>VLOOKUP($A310,Questions!$A$3:$X$333,20,0)&amp;""</f>
        <v/>
      </c>
      <c r="E310" s="258" t="s">
        <v>1536</v>
      </c>
    </row>
    <row r="311" spans="1:5" ht="19">
      <c r="A311" s="70" t="str">
        <f>VLOOKUP(LEFT($A312,4),'Auto Responses'!$N$4:$O$38,2,0)&amp;""</f>
        <v xml:space="preserve"> Data Privacy</v>
      </c>
      <c r="B311" s="70"/>
      <c r="C311" s="63" t="str">
        <f>Questions!$S$2</f>
        <v>Reason for Question</v>
      </c>
      <c r="D311" s="63" t="str">
        <f>Questions!$T$2</f>
        <v>Follow-Up Inquiries/Responses</v>
      </c>
    </row>
    <row r="312" spans="1:5" ht="30">
      <c r="A312" s="64" t="s">
        <v>1094</v>
      </c>
      <c r="B312" s="64" t="str">
        <f>VLOOKUP($A312,Questions!$A$3:$X$333,2,0)&amp;""</f>
        <v>Have you performed a Data Privacy Impact Assesssment for the solution/project?</v>
      </c>
      <c r="C312" s="64" t="str">
        <f>VLOOKUP($A312,Questions!$A$3:$X$333,19,0)&amp;""</f>
        <v>To be added in a later version</v>
      </c>
      <c r="D312" s="64" t="str">
        <f>VLOOKUP($A312,Questions!$A$3:$X$333,20,0)&amp;""</f>
        <v>To be added in a later version</v>
      </c>
    </row>
    <row r="313" spans="1:5" ht="45">
      <c r="A313" s="64" t="s">
        <v>1095</v>
      </c>
      <c r="B313" s="64" t="str">
        <f>VLOOKUP($A313,Questions!$A$3:$X$333,2,0)&amp;""</f>
        <v>Do you provide an end-user privacy notice about privacy policies and procedures that identify the purpose(s) for which personal information is collected, used, retained, and disclosed?</v>
      </c>
      <c r="C313" s="64" t="str">
        <f>VLOOKUP($A313,Questions!$A$3:$X$333,19,0)&amp;""</f>
        <v/>
      </c>
      <c r="D313" s="64" t="str">
        <f>VLOOKUP($A313,Questions!$A$3:$X$333,20,0)&amp;""</f>
        <v/>
      </c>
    </row>
    <row r="314" spans="1:5" ht="45">
      <c r="A314" s="64" t="s">
        <v>1096</v>
      </c>
      <c r="B314" s="64" t="str">
        <f>VLOOKUP($A314,Questions!$A$3:$X$333,2,0)&amp;""</f>
        <v>Do you describe the choices available to the individual and obtain implicit or explicit consent with respect to the collection, use, and disclosure of personal information?</v>
      </c>
      <c r="C314" s="64" t="str">
        <f>VLOOKUP($A314,Questions!$A$3:$X$333,19,0)&amp;""</f>
        <v/>
      </c>
      <c r="D314" s="64" t="str">
        <f>VLOOKUP($A314,Questions!$A$3:$X$333,20,0)&amp;""</f>
        <v/>
      </c>
    </row>
    <row r="315" spans="1:5" ht="45">
      <c r="A315" s="64" t="s">
        <v>1097</v>
      </c>
      <c r="B315" s="64" t="str">
        <f>VLOOKUP($A315,Questions!$A$3:$X$333,2,0)&amp;""</f>
        <v>Do you collect personal information only for the purpose(s) identified in the agreement with an institution or, if there is none, the purpose(s) identified in the privacy notice?</v>
      </c>
      <c r="C315" s="64" t="str">
        <f>VLOOKUP($A315,Questions!$A$3:$X$333,19,0)&amp;""</f>
        <v/>
      </c>
      <c r="D315" s="64" t="str">
        <f>VLOOKUP($A315,Questions!$A$3:$X$333,20,0)&amp;""</f>
        <v/>
      </c>
    </row>
    <row r="316" spans="1:5" ht="24.75" customHeight="1">
      <c r="A316" s="64" t="s">
        <v>1098</v>
      </c>
      <c r="B316" s="64" t="str">
        <f>VLOOKUP($A316,Questions!$A$3:$X$333,2,0)&amp;""</f>
        <v>Do you have a documented list of personal data your service maintains?</v>
      </c>
      <c r="C316" s="64" t="str">
        <f>VLOOKUP($A316,Questions!$A$3:$X$333,19,0)&amp;""</f>
        <v/>
      </c>
      <c r="D316" s="64" t="str">
        <f>VLOOKUP($A316,Questions!$A$3:$X$333,20,0)&amp;""</f>
        <v/>
      </c>
    </row>
    <row r="317" spans="1:5" ht="45">
      <c r="A317" s="64" t="s">
        <v>1099</v>
      </c>
      <c r="B317" s="64" t="str">
        <f>VLOOKUP($A317,Questions!$A$3:$X$333,2,0)&amp;""</f>
        <v>Do you retain personal information for only as long as necessary to fulfill the stated purpose(s) or as required by law or regulation and thereafter appropriately dispose of such information?</v>
      </c>
      <c r="C317" s="64" t="str">
        <f>VLOOKUP($A317,Questions!$A$3:$X$333,19,0)&amp;""</f>
        <v/>
      </c>
      <c r="D317" s="64" t="str">
        <f>VLOOKUP($A317,Questions!$A$3:$X$333,20,0)&amp;""</f>
        <v/>
      </c>
    </row>
    <row r="318" spans="1:5" ht="30">
      <c r="A318" s="64" t="s">
        <v>1100</v>
      </c>
      <c r="B318" s="64" t="str">
        <f>VLOOKUP($A318,Questions!$A$3:$X$333,2,0)&amp;""</f>
        <v>Do you provide individuals with access to their personal information for review and update (i.e., data subject rights)?</v>
      </c>
      <c r="C318" s="64" t="str">
        <f>VLOOKUP($A318,Questions!$A$3:$X$333,19,0)&amp;""</f>
        <v/>
      </c>
      <c r="D318" s="64" t="str">
        <f>VLOOKUP($A318,Questions!$A$3:$X$333,20,0)&amp;""</f>
        <v/>
      </c>
    </row>
    <row r="319" spans="1:5" ht="45">
      <c r="A319" s="64" t="s">
        <v>1101</v>
      </c>
      <c r="B319" s="64" t="str">
        <f>VLOOKUP($A319,Questions!$A$3:$X$333,2,0)&amp;""</f>
        <v>Do you disclose personal information to third parties only for the purpose(s) identified in the privacy notice or with the implicit or explicit consent of the individual?</v>
      </c>
      <c r="C319" s="64" t="str">
        <f>VLOOKUP($A319,Questions!$A$3:$X$333,19,0)&amp;""</f>
        <v/>
      </c>
      <c r="D319" s="64" t="str">
        <f>VLOOKUP($A319,Questions!$A$3:$X$333,20,0)&amp;""</f>
        <v/>
      </c>
    </row>
    <row r="320" spans="1:5" ht="30">
      <c r="A320" s="64" t="s">
        <v>1102</v>
      </c>
      <c r="B320" s="64" t="str">
        <f>VLOOKUP($A320,Questions!$A$3:$X$333,2,0)&amp;""</f>
        <v>Do you protect personal information against unauthorized access (both physical and logical)?</v>
      </c>
      <c r="C320" s="64" t="str">
        <f>VLOOKUP($A320,Questions!$A$3:$X$333,19,0)&amp;""</f>
        <v/>
      </c>
      <c r="D320" s="64" t="str">
        <f>VLOOKUP($A320,Questions!$A$3:$X$333,20,0)&amp;""</f>
        <v/>
      </c>
    </row>
    <row r="321" spans="1:5" ht="40.5" customHeight="1">
      <c r="A321" s="64" t="s">
        <v>1103</v>
      </c>
      <c r="B321" s="64" t="str">
        <f>VLOOKUP($A321,Questions!$A$3:$X$333,2,0)&amp;""</f>
        <v>Do you maintain accurate, complete, and relevant personal information for the purposes identified in the privacy notice?</v>
      </c>
      <c r="C321" s="64" t="str">
        <f>VLOOKUP($A321,Questions!$A$3:$X$333,19,0)&amp;""</f>
        <v/>
      </c>
      <c r="D321" s="64" t="str">
        <f>VLOOKUP($A321,Questions!$A$3:$X$333,20,0)&amp;""</f>
        <v/>
      </c>
    </row>
    <row r="322" spans="1:5" ht="35.25" customHeight="1">
      <c r="A322" s="64" t="s">
        <v>1104</v>
      </c>
      <c r="B322" s="64" t="str">
        <f>VLOOKUP($A322,Questions!$A$3:$X$333,2,0)&amp;""</f>
        <v>Do you have procedures to address privacy-related noncompliance complaints and disputes?</v>
      </c>
      <c r="C322" s="64" t="str">
        <f>VLOOKUP($A322,Questions!$A$3:$X$333,19,0)&amp;""</f>
        <v/>
      </c>
      <c r="D322" s="64" t="str">
        <f>VLOOKUP($A322,Questions!$A$3:$X$333,20,0)&amp;""</f>
        <v/>
      </c>
    </row>
    <row r="323" spans="1:5" ht="22.5" customHeight="1">
      <c r="A323" s="64" t="s">
        <v>1105</v>
      </c>
      <c r="B323" s="64" t="str">
        <f>VLOOKUP($A323,Questions!$A$3:$X$333,2,0)&amp;""</f>
        <v>Do you "anonymize," "de-identify," or otherwise mask personal data?</v>
      </c>
      <c r="C323" s="64" t="str">
        <f>VLOOKUP($A323,Questions!$A$3:$X$333,19,0)&amp;""</f>
        <v/>
      </c>
      <c r="D323" s="64" t="str">
        <f>VLOOKUP($A323,Questions!$A$3:$X$333,20,0)&amp;""</f>
        <v/>
      </c>
    </row>
    <row r="324" spans="1:5" ht="78" customHeight="1">
      <c r="A324" s="64" t="s">
        <v>1106</v>
      </c>
      <c r="B324" s="64" t="str">
        <f>VLOOKUP($A324,Questions!$A$3:$X$333,2,0)&amp;""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324" s="64" t="str">
        <f>VLOOKUP($A324,Questions!$A$3:$X$333,19,0)&amp;""</f>
        <v/>
      </c>
      <c r="D324" s="64" t="str">
        <f>VLOOKUP($A324,Questions!$A$3:$X$333,20,0)&amp;""</f>
        <v/>
      </c>
    </row>
    <row r="325" spans="1:5" ht="35.25" customHeight="1">
      <c r="A325" s="64" t="s">
        <v>1107</v>
      </c>
      <c r="B325" s="64" t="str">
        <f>VLOOKUP($A325,Questions!$A$3:$X$333,2,0)&amp;""</f>
        <v>Do you certify stop-processing requests, including any data that is processed by a third party on your behalf?</v>
      </c>
      <c r="C325" s="64" t="str">
        <f>VLOOKUP($A325,Questions!$A$3:$X$333,19,0)&amp;""</f>
        <v/>
      </c>
      <c r="D325" s="64" t="str">
        <f>VLOOKUP($A325,Questions!$A$3:$X$333,20,0)&amp;""</f>
        <v/>
      </c>
    </row>
    <row r="326" spans="1:5" ht="21" customHeight="1">
      <c r="A326" s="64" t="s">
        <v>1108</v>
      </c>
      <c r="B326" s="64" t="str">
        <f>VLOOKUP($A326,Questions!$A$3:$X$333,2,0)&amp;""</f>
        <v>Do you have a process to review code for ethical considerations?</v>
      </c>
      <c r="C326" s="64" t="str">
        <f>VLOOKUP($A326,Questions!$A$3:$X$333,19,0)&amp;""</f>
        <v/>
      </c>
      <c r="D326" s="64" t="str">
        <f>VLOOKUP($A326,Questions!$A$3:$X$333,20,0)&amp;""</f>
        <v/>
      </c>
      <c r="E326" s="258" t="s">
        <v>1536</v>
      </c>
    </row>
    <row r="327" spans="1:5" ht="19">
      <c r="A327" s="70" t="str">
        <f>VLOOKUP(LEFT($A328,4),'Auto Responses'!$N$4:$O$38,2,0)&amp;""</f>
        <v xml:space="preserve"> Privacy and AI</v>
      </c>
      <c r="B327" s="70"/>
      <c r="C327" s="63" t="str">
        <f>Questions!$S$2</f>
        <v>Reason for Question</v>
      </c>
      <c r="D327" s="63" t="str">
        <f>Questions!$T$2</f>
        <v>Follow-Up Inquiries/Responses</v>
      </c>
    </row>
    <row r="328" spans="1:5" ht="43" customHeight="1">
      <c r="A328" s="64" t="s">
        <v>1109</v>
      </c>
      <c r="B328" s="64" t="str">
        <f>VLOOKUP($A328,Questions!$A$3:$X$333,2,0)&amp;""</f>
        <v>Does your service use AI for the processing of institutional data?</v>
      </c>
      <c r="C328" s="64" t="str">
        <f>VLOOKUP($A328,Questions!$A$3:$X$333,18,0)&amp;""</f>
        <v/>
      </c>
      <c r="D328" s="64" t="str">
        <f>VLOOKUP($A328,Questions!$A$3:$X$333,19,0)&amp;""</f>
        <v>To be added in a later version</v>
      </c>
    </row>
    <row r="329" spans="1:5" ht="43" customHeight="1">
      <c r="A329" s="64" t="s">
        <v>1110</v>
      </c>
      <c r="B329" s="64" t="str">
        <f>VLOOKUP($A329,Questions!$A$3:$X$333,2,0)&amp;""</f>
        <v>Is any institutional data retained in AI processing?*</v>
      </c>
      <c r="C329" s="64" t="str">
        <f>VLOOKUP($A329,Questions!$A$3:$X$333,18,0)&amp;""</f>
        <v>Please explain why this does not apply to your product or service.</v>
      </c>
      <c r="D329" s="64" t="str">
        <f>VLOOKUP($A329,Questions!$A$3:$X$333,19,0)&amp;""</f>
        <v/>
      </c>
    </row>
    <row r="330" spans="1:5" ht="43" customHeight="1">
      <c r="A330" s="64" t="s">
        <v>808</v>
      </c>
      <c r="B330" s="64" t="str">
        <f>VLOOKUP($A330,Questions!$A$3:$X$333,2,0)&amp;""</f>
        <v>Do you have agreements in place with third parties or subprocessors regarding the protection of customer data and use of AI?*</v>
      </c>
      <c r="C330" s="64" t="str">
        <f>VLOOKUP($A330,Questions!$A$3:$X$333,18,0)&amp;""</f>
        <v>Please explain why this does not apply to your product or service.</v>
      </c>
      <c r="D330" s="64" t="str">
        <f>VLOOKUP($A330,Questions!$A$3:$X$333,19,0)&amp;""</f>
        <v/>
      </c>
    </row>
    <row r="331" spans="1:5" ht="43" customHeight="1">
      <c r="A331" s="64" t="s">
        <v>810</v>
      </c>
      <c r="B331" s="64" t="str">
        <f>VLOOKUP($A331,Questions!$A$3:$X$333,2,0)&amp;""</f>
        <v>Will institutional data be processed through a third party or subprocessor that also uses AI?</v>
      </c>
      <c r="C331" s="64" t="str">
        <f>VLOOKUP($A331,Questions!$A$3:$X$333,18,0)&amp;""</f>
        <v/>
      </c>
      <c r="D331" s="64" t="str">
        <f>VLOOKUP($A331,Questions!$A$3:$X$333,19,0)&amp;""</f>
        <v/>
      </c>
    </row>
    <row r="332" spans="1:5" ht="43" customHeight="1">
      <c r="A332" s="64" t="s">
        <v>811</v>
      </c>
      <c r="B332" s="64" t="str">
        <f>VLOOKUP($A332,Questions!$A$3:$X$333,2,0)&amp;""</f>
        <v>Is AI processing limited to fully licensed commercial enterprise AI services?</v>
      </c>
      <c r="C332" s="64" t="str">
        <f>VLOOKUP($A332,Questions!$A$3:$X$333,18,0)&amp;""</f>
        <v>Please explain why this does not apply to your product or service.</v>
      </c>
      <c r="D332" s="64" t="str">
        <f>VLOOKUP($A332,Questions!$A$3:$X$333,19,0)&amp;""</f>
        <v/>
      </c>
    </row>
    <row r="333" spans="1:5" ht="43" customHeight="1">
      <c r="A333" s="64" t="s">
        <v>813</v>
      </c>
      <c r="B333" s="64" t="str">
        <f>VLOOKUP($A333,Questions!$A$3:$X$333,2,0)&amp;""</f>
        <v>Will institutional data be used or processed by any shared AI services?</v>
      </c>
      <c r="C333" s="64" t="str">
        <f>VLOOKUP($A333,Questions!$A$3:$X$333,18,0)&amp;""</f>
        <v/>
      </c>
      <c r="D333" s="64" t="str">
        <f>VLOOKUP($A333,Questions!$A$3:$X$333,19,0)&amp;""</f>
        <v/>
      </c>
    </row>
    <row r="334" spans="1:5" ht="43" customHeight="1">
      <c r="A334" s="64" t="s">
        <v>814</v>
      </c>
      <c r="B334" s="64" t="str">
        <f>VLOOKUP($A334,Questions!$A$3:$X$333,2,0)&amp;""</f>
        <v>Do you have safeguards in place to protect institutional data and data privacy from unintended AI queries or processing?</v>
      </c>
      <c r="C334" s="64" t="str">
        <f>VLOOKUP($A334,Questions!$A$3:$X$333,18,0)&amp;""</f>
        <v/>
      </c>
      <c r="D334" s="64" t="str">
        <f>VLOOKUP($A334,Questions!$A$3:$X$333,19,0)&amp;""</f>
        <v/>
      </c>
    </row>
    <row r="335" spans="1:5" ht="43" customHeight="1">
      <c r="A335" s="64" t="s">
        <v>815</v>
      </c>
      <c r="B335" s="64" t="str">
        <f>VLOOKUP($A335,Questions!$A$3:$X$333,2,0)&amp;""</f>
        <v>Do you provide choice to the user to opt out of AI use?</v>
      </c>
      <c r="C335" s="64" t="str">
        <f>VLOOKUP($A335,Questions!$A$3:$X$333,18,0)&amp;""</f>
        <v>Please explain why this does not apply to your product or service.</v>
      </c>
      <c r="D335" s="64" t="str">
        <f>VLOOKUP($A335,Questions!$A$3:$X$333,19,0)&amp;""</f>
        <v/>
      </c>
    </row>
    <row r="336" spans="1:5" ht="43" customHeight="1">
      <c r="A336" s="70" t="str">
        <f>VLOOKUP(LEFT($A337,4),'Auto Responses'!$N$4:$O$38,2,0)&amp;""</f>
        <v xml:space="preserve"> AI Qualifying Questions</v>
      </c>
      <c r="B336" s="70"/>
      <c r="C336" s="63" t="str">
        <f>Questions!$S$2</f>
        <v>Reason for Question</v>
      </c>
      <c r="D336" s="63" t="str">
        <f>Questions!$T$2</f>
        <v>Follow-Up Inquiries/Responses</v>
      </c>
    </row>
    <row r="337" spans="1:5" ht="43" customHeight="1">
      <c r="A337" s="64" t="s">
        <v>817</v>
      </c>
      <c r="B337" s="64" t="str">
        <f>VLOOKUP($A337,Questions!$A$3:$X$333,2,0)&amp;""</f>
        <v>Does your solution leverage machine learning (ML) or do you plan to do so in the next 12 months?</v>
      </c>
      <c r="C337" s="64" t="str">
        <f>VLOOKUP($A337,Questions!$A$3:$X$333,19,0)&amp;""</f>
        <v>To be added in a later version</v>
      </c>
      <c r="D337" s="64" t="str">
        <f>VLOOKUP($A337,Questions!$A$3:$X$333,20,0)&amp;""</f>
        <v>To be added in a later version</v>
      </c>
    </row>
    <row r="338" spans="1:5" ht="43" customHeight="1">
      <c r="A338" s="64" t="s">
        <v>819</v>
      </c>
      <c r="B338" s="64" t="str">
        <f>VLOOKUP($A338,Questions!$A$3:$X$333,2,0)&amp;""</f>
        <v>Does your solution leverage a large language model (LLM) or do you plan to do so in the next 12 months?</v>
      </c>
      <c r="C338" s="64" t="str">
        <f>VLOOKUP($A338,Questions!$A$3:$X$333,19,0)&amp;""</f>
        <v/>
      </c>
      <c r="D338" s="64" t="str">
        <f>VLOOKUP($A338,Questions!$A$3:$X$333,20,0)&amp;""</f>
        <v/>
      </c>
      <c r="E338" s="258" t="s">
        <v>1536</v>
      </c>
    </row>
    <row r="339" spans="1:5" ht="43" customHeight="1">
      <c r="A339" s="70" t="str">
        <f>VLOOKUP(LEFT($A340,4),'Auto Responses'!$N$4:$O$38,2,0)&amp;""</f>
        <v xml:space="preserve"> General AI Questions</v>
      </c>
      <c r="B339" s="70"/>
      <c r="C339" s="63" t="str">
        <f>Questions!$S$2</f>
        <v>Reason for Question</v>
      </c>
      <c r="D339" s="63" t="str">
        <f>Questions!$T$2</f>
        <v>Follow-Up Inquiries/Responses</v>
      </c>
    </row>
    <row r="340" spans="1:5" ht="43" customHeight="1">
      <c r="A340" s="64" t="s">
        <v>821</v>
      </c>
      <c r="B340" s="64" t="str">
        <f>VLOOKUP($A340,Questions!$A$3:$X$333,2,0)&amp;""</f>
        <v>Does your solution have an AI risk model when developing or implementing your solution's AI model?*</v>
      </c>
      <c r="C340" s="64" t="str">
        <f>VLOOKUP($A340,Questions!$A$3:$X$333,19,0)&amp;""</f>
        <v>To be added in a later version</v>
      </c>
      <c r="D340" s="64" t="str">
        <f>VLOOKUP($A340,Questions!$A$3:$X$333,20,0)&amp;""</f>
        <v>To be added in a later version</v>
      </c>
    </row>
    <row r="341" spans="1:5" ht="43" customHeight="1">
      <c r="A341" s="64" t="s">
        <v>823</v>
      </c>
      <c r="B341" s="64" t="str">
        <f>VLOOKUP($A341,Questions!$A$3:$X$333,2,0)&amp;""</f>
        <v>Can your solution's AI features be disabled by tenant and/or user?*</v>
      </c>
      <c r="C341" s="64" t="str">
        <f>VLOOKUP($A341,Questions!$A$3:$X$333,19,0)&amp;""</f>
        <v/>
      </c>
      <c r="D341" s="64" t="str">
        <f>VLOOKUP($A341,Questions!$A$3:$X$333,20,0)&amp;""</f>
        <v/>
      </c>
    </row>
    <row r="342" spans="1:5" ht="43" customHeight="1">
      <c r="A342" s="64" t="s">
        <v>825</v>
      </c>
      <c r="B342" s="64" t="str">
        <f>VLOOKUP($A342,Questions!$A$3:$X$333,2,0)&amp;""</f>
        <v>Have your staff completed responsible AI training?*</v>
      </c>
      <c r="C342" s="64" t="str">
        <f>VLOOKUP($A342,Questions!$A$3:$X$333,19,0)&amp;""</f>
        <v/>
      </c>
      <c r="D342" s="64" t="str">
        <f>VLOOKUP($A342,Questions!$A$3:$X$333,20,0)&amp;""</f>
        <v/>
      </c>
    </row>
    <row r="343" spans="1:5" ht="43" customHeight="1">
      <c r="A343" s="64" t="s">
        <v>826</v>
      </c>
      <c r="B343" s="64" t="str">
        <f>VLOOKUP($A343,Questions!$A$3:$X$333,2,0)&amp;""</f>
        <v>Please describe the capabilities of your solution's AI features.</v>
      </c>
      <c r="C343" s="64" t="str">
        <f>VLOOKUP($A343,Questions!$A$3:$X$333,19,0)&amp;""</f>
        <v/>
      </c>
      <c r="D343" s="64" t="str">
        <f>VLOOKUP($A343,Questions!$A$3:$X$333,20,0)&amp;""</f>
        <v/>
      </c>
    </row>
    <row r="344" spans="1:5" ht="43" customHeight="1">
      <c r="A344" s="64" t="s">
        <v>828</v>
      </c>
      <c r="B344" s="64" t="str">
        <f>VLOOKUP($A344,Questions!$A$3:$X$333,2,0)&amp;""</f>
        <v>Does your solution support business rules to protect sensitive data from being ingested by the AI model?</v>
      </c>
      <c r="C344" s="64" t="str">
        <f>VLOOKUP($A344,Questions!$A$3:$X$333,19,0)&amp;""</f>
        <v/>
      </c>
      <c r="D344" s="64" t="str">
        <f>VLOOKUP($A344,Questions!$A$3:$X$333,20,0)&amp;""</f>
        <v/>
      </c>
      <c r="E344" s="258" t="s">
        <v>1536</v>
      </c>
    </row>
    <row r="345" spans="1:5" ht="43" customHeight="1">
      <c r="A345" s="70" t="str">
        <f>VLOOKUP(LEFT($A346,4),'Auto Responses'!$N$4:$O$38,2,0)&amp;""</f>
        <v xml:space="preserve"> AI Policy</v>
      </c>
      <c r="B345" s="70"/>
      <c r="C345" s="63" t="str">
        <f>Questions!$S$2</f>
        <v>Reason for Question</v>
      </c>
      <c r="D345" s="63" t="str">
        <f>Questions!$T$2</f>
        <v>Follow-Up Inquiries/Responses</v>
      </c>
    </row>
    <row r="346" spans="1:5" ht="65.25" customHeight="1">
      <c r="A346" s="64" t="s">
        <v>830</v>
      </c>
      <c r="B346" s="64" t="str">
        <f>VLOOKUP($A346,Questions!$A$3:$X$333,2,0)&amp;""</f>
        <v>Are your AI developer's policies, processes, procedures, and practices across the organization related to the mapping, measuring, and managing of AI risks conspicuously posted, unambiguous, and implemented effectively?*</v>
      </c>
      <c r="C346" s="64" t="str">
        <f>VLOOKUP($A346,Questions!$A$3:$X$333,19,0)&amp;""</f>
        <v>To be added in a later version</v>
      </c>
      <c r="D346" s="64" t="str">
        <f>VLOOKUP($A346,Questions!$A$3:$X$333,20,0)&amp;""</f>
        <v>To be added in a later version</v>
      </c>
    </row>
    <row r="347" spans="1:5" ht="43" customHeight="1">
      <c r="A347" s="64" t="s">
        <v>831</v>
      </c>
      <c r="B347" s="64" t="str">
        <f>VLOOKUP($A347,Questions!$A$3:$X$333,2,0)&amp;""</f>
        <v>Have you identified and measured AI risks?*</v>
      </c>
      <c r="C347" s="64" t="str">
        <f>VLOOKUP($A347,Questions!$A$3:$X$333,19,0)&amp;""</f>
        <v/>
      </c>
      <c r="D347" s="64" t="str">
        <f>VLOOKUP($A347,Questions!$A$3:$X$333,20,0)&amp;""</f>
        <v/>
      </c>
    </row>
    <row r="348" spans="1:5" ht="43" customHeight="1">
      <c r="A348" s="64" t="s">
        <v>832</v>
      </c>
      <c r="B348" s="64" t="str">
        <f>VLOOKUP($A348,Questions!$A$3:$X$333,2,0)&amp;""</f>
        <v>In the event of an incident, can your solution's AI features be disabled in a timely manner?*</v>
      </c>
      <c r="C348" s="64" t="str">
        <f>VLOOKUP($A348,Questions!$A$3:$X$333,19,0)&amp;""</f>
        <v/>
      </c>
      <c r="D348" s="64" t="str">
        <f>VLOOKUP($A348,Questions!$A$3:$X$333,20,0)&amp;""</f>
        <v/>
      </c>
    </row>
    <row r="349" spans="1:5" ht="43" customHeight="1">
      <c r="A349" s="64" t="s">
        <v>833</v>
      </c>
      <c r="B349" s="64" t="str">
        <f>VLOOKUP($A349,Questions!$A$3:$X$333,2,0)&amp;""</f>
        <v>If disabled because of an incident, can your solution's AI features be re-enabled in a timely manner?*</v>
      </c>
      <c r="C349" s="64" t="str">
        <f>VLOOKUP($A349,Questions!$A$3:$X$333,19,0)&amp;""</f>
        <v/>
      </c>
      <c r="D349" s="64" t="str">
        <f>VLOOKUP($A349,Questions!$A$3:$X$333,20,0)&amp;""</f>
        <v/>
      </c>
    </row>
    <row r="350" spans="1:5" ht="43" customHeight="1">
      <c r="A350" s="64" t="s">
        <v>834</v>
      </c>
      <c r="B350" s="64" t="str">
        <f>VLOOKUP($A350,Questions!$A$3:$X$333,2,0)&amp;""</f>
        <v>Do you have documented technical and procedural processes to address potential negative impacts of AI as described by the AI Risk Management Framework (RMF)?</v>
      </c>
      <c r="C350" s="64" t="str">
        <f>VLOOKUP($A350,Questions!$A$3:$X$333,19,0)&amp;""</f>
        <v/>
      </c>
      <c r="D350" s="64" t="str">
        <f>VLOOKUP($A350,Questions!$A$3:$X$333,20,0)&amp;""</f>
        <v/>
      </c>
      <c r="E350" s="258" t="s">
        <v>1536</v>
      </c>
    </row>
    <row r="351" spans="1:5" ht="43" customHeight="1">
      <c r="A351" s="70" t="str">
        <f>VLOOKUP(LEFT($A352,4),'Auto Responses'!$N$4:$O$38,2,0)&amp;""</f>
        <v xml:space="preserve"> AI Data Security</v>
      </c>
      <c r="B351" s="70"/>
      <c r="C351" s="63" t="str">
        <f>Questions!$S$2</f>
        <v>Reason for Question</v>
      </c>
      <c r="D351" s="63" t="str">
        <f>Questions!$T$2</f>
        <v>Follow-Up Inquiries/Responses</v>
      </c>
    </row>
    <row r="352" spans="1:5" ht="43" customHeight="1">
      <c r="A352" s="64" t="s">
        <v>835</v>
      </c>
      <c r="B352" s="64" t="str">
        <f>VLOOKUP($A352,Questions!$A$3:$X$333,2,0)&amp;""</f>
        <v>If sensitive data is introduced to your solution's AI model, can the data be removed from the AI model by request?*</v>
      </c>
      <c r="C352" s="64" t="str">
        <f>VLOOKUP($A352,Questions!$A$3:$X$333,19,0)&amp;""</f>
        <v>To be added in a later version</v>
      </c>
      <c r="D352" s="64" t="str">
        <f>VLOOKUP($A352,Questions!$A$3:$X$333,20,0)&amp;""</f>
        <v>To be added in a later version</v>
      </c>
    </row>
    <row r="353" spans="1:5" ht="43" customHeight="1">
      <c r="A353" s="64" t="s">
        <v>836</v>
      </c>
      <c r="B353" s="64" t="str">
        <f>VLOOKUP($A353,Questions!$A$3:$X$333,2,0)&amp;""</f>
        <v>Is user input data used to influence your solution's AI model?*</v>
      </c>
      <c r="C353" s="64" t="str">
        <f>VLOOKUP($A353,Questions!$A$3:$X$333,19,0)&amp;""</f>
        <v/>
      </c>
      <c r="D353" s="64" t="str">
        <f>VLOOKUP($A353,Questions!$A$3:$X$333,20,0)&amp;""</f>
        <v/>
      </c>
    </row>
    <row r="354" spans="1:5" ht="43" customHeight="1">
      <c r="A354" s="64" t="s">
        <v>837</v>
      </c>
      <c r="B354" s="64" t="str">
        <f>VLOOKUP($A354,Questions!$A$3:$X$333,2,0)&amp;""</f>
        <v>Do you provide logging for your solution's AI feature(s) that includes user, date, and action taken?*</v>
      </c>
      <c r="C354" s="64" t="str">
        <f>VLOOKUP($A354,Questions!$A$3:$X$333,19,0)&amp;""</f>
        <v/>
      </c>
      <c r="D354" s="64" t="str">
        <f>VLOOKUP($A354,Questions!$A$3:$X$333,20,0)&amp;""</f>
        <v/>
      </c>
    </row>
    <row r="355" spans="1:5" ht="43" customHeight="1">
      <c r="A355" s="64" t="s">
        <v>839</v>
      </c>
      <c r="B355" s="64" t="str">
        <f>VLOOKUP($A355,Questions!$A$3:$X$333,2,0)&amp;""</f>
        <v>Please describe how you validate user inputs.</v>
      </c>
      <c r="C355" s="64" t="str">
        <f>VLOOKUP($A355,Questions!$A$3:$X$333,19,0)&amp;""</f>
        <v/>
      </c>
      <c r="D355" s="64" t="str">
        <f>VLOOKUP($A355,Questions!$A$3:$X$333,20,0)&amp;""</f>
        <v/>
      </c>
    </row>
    <row r="356" spans="1:5" ht="43" customHeight="1">
      <c r="A356" s="64" t="s">
        <v>840</v>
      </c>
      <c r="B356" s="64" t="str">
        <f>VLOOKUP($A356,Questions!$A$3:$X$333,2,0)&amp;""</f>
        <v>Do you plan for and mitigate supply-chain risk related to your AI features?</v>
      </c>
      <c r="C356" s="64" t="str">
        <f>VLOOKUP($A356,Questions!$A$3:$X$333,19,0)&amp;""</f>
        <v/>
      </c>
      <c r="D356" s="64" t="str">
        <f>VLOOKUP($A356,Questions!$A$3:$X$333,20,0)&amp;""</f>
        <v/>
      </c>
      <c r="E356" s="258" t="s">
        <v>1536</v>
      </c>
    </row>
    <row r="357" spans="1:5" ht="43" customHeight="1">
      <c r="A357" s="70" t="str">
        <f>VLOOKUP(LEFT($A358,4),'Auto Responses'!$N$4:$O$38,2,0)&amp;""</f>
        <v xml:space="preserve"> AI Machine Learning</v>
      </c>
      <c r="B357" s="70"/>
      <c r="C357" s="63" t="str">
        <f>Questions!$S$2</f>
        <v>Reason for Question</v>
      </c>
      <c r="D357" s="63" t="str">
        <f>Questions!$T$2</f>
        <v>Follow-Up Inquiries/Responses</v>
      </c>
    </row>
    <row r="358" spans="1:5" ht="43" customHeight="1">
      <c r="A358" s="64" t="s">
        <v>842</v>
      </c>
      <c r="B358" s="64" t="str">
        <f>VLOOKUP($A358,Questions!$A$3:$X$333,2,0)&amp;""</f>
        <v>Do you separate ML training data from your ML solution data?*</v>
      </c>
      <c r="C358" s="64" t="str">
        <f>VLOOKUP($A358,Questions!$A$3:$X$333,19,0)&amp;""</f>
        <v>To be added in a later version</v>
      </c>
      <c r="D358" s="64" t="str">
        <f>VLOOKUP($A358,Questions!$A$3:$X$333,20,0)&amp;""</f>
        <v>To be added in a later version</v>
      </c>
    </row>
    <row r="359" spans="1:5" ht="43" customHeight="1">
      <c r="A359" s="64" t="s">
        <v>844</v>
      </c>
      <c r="B359" s="64" t="str">
        <f>VLOOKUP($A359,Questions!$A$3:$X$333,2,0)&amp;""</f>
        <v>Do you authenticate and verify your ML model's feedback?*</v>
      </c>
      <c r="C359" s="64" t="str">
        <f>VLOOKUP($A359,Questions!$A$3:$X$333,19,0)&amp;""</f>
        <v/>
      </c>
      <c r="D359" s="64" t="str">
        <f>VLOOKUP($A359,Questions!$A$3:$X$333,20,0)&amp;""</f>
        <v/>
      </c>
    </row>
    <row r="360" spans="1:5" ht="43" customHeight="1">
      <c r="A360" s="64" t="s">
        <v>846</v>
      </c>
      <c r="B360" s="64" t="str">
        <f>VLOOKUP($A360,Questions!$A$3:$X$333,2,0)&amp;""</f>
        <v>Is your ML training data vetted, validated, and verified before training the solution's AI model?</v>
      </c>
      <c r="C360" s="64" t="str">
        <f>VLOOKUP($A360,Questions!$A$3:$X$333,19,0)&amp;""</f>
        <v/>
      </c>
      <c r="D360" s="64" t="str">
        <f>VLOOKUP($A360,Questions!$A$3:$X$333,20,0)&amp;""</f>
        <v/>
      </c>
    </row>
    <row r="361" spans="1:5" ht="43" customHeight="1">
      <c r="A361" s="64" t="s">
        <v>849</v>
      </c>
      <c r="B361" s="64" t="str">
        <f>VLOOKUP($A361,Questions!$A$3:$X$333,2,0)&amp;""</f>
        <v>Is your ML training data monitored and audited?</v>
      </c>
      <c r="C361" s="64" t="str">
        <f>VLOOKUP($A361,Questions!$A$3:$X$333,19,0)&amp;""</f>
        <v/>
      </c>
      <c r="D361" s="64" t="str">
        <f>VLOOKUP($A361,Questions!$A$3:$X$333,20,0)&amp;""</f>
        <v/>
      </c>
    </row>
    <row r="362" spans="1:5" ht="43" customHeight="1">
      <c r="A362" s="64" t="s">
        <v>852</v>
      </c>
      <c r="B362" s="64" t="str">
        <f>VLOOKUP($A362,Questions!$A$3:$X$333,2,0)&amp;""</f>
        <v>Have you limited access to your ML training data to only staff with an explicit business need?</v>
      </c>
      <c r="C362" s="64" t="str">
        <f>VLOOKUP($A362,Questions!$A$3:$X$333,19,0)&amp;""</f>
        <v/>
      </c>
      <c r="D362" s="64" t="str">
        <f>VLOOKUP($A362,Questions!$A$3:$X$333,20,0)&amp;""</f>
        <v/>
      </c>
    </row>
    <row r="363" spans="1:5" ht="43" customHeight="1">
      <c r="A363" s="64" t="s">
        <v>854</v>
      </c>
      <c r="B363" s="64" t="str">
        <f>VLOOKUP($A363,Questions!$A$3:$X$333,2,0)&amp;""</f>
        <v>Have you implemented adversarial training or other model defense mechanisms to protect your ML-related features?</v>
      </c>
      <c r="C363" s="64" t="str">
        <f>VLOOKUP($A363,Questions!$A$3:$X$333,19,0)&amp;""</f>
        <v/>
      </c>
      <c r="D363" s="64" t="str">
        <f>VLOOKUP($A363,Questions!$A$3:$X$333,20,0)&amp;""</f>
        <v/>
      </c>
    </row>
    <row r="364" spans="1:5" ht="43" customHeight="1">
      <c r="A364" s="64" t="s">
        <v>856</v>
      </c>
      <c r="B364" s="64" t="str">
        <f>VLOOKUP($A364,Questions!$A$3:$X$333,2,0)&amp;""</f>
        <v>Do you make your ML model transparent through documentation and log inputs and outputs?</v>
      </c>
      <c r="C364" s="64" t="str">
        <f>VLOOKUP($A364,Questions!$A$3:$X$333,19,0)&amp;""</f>
        <v/>
      </c>
      <c r="D364" s="64" t="str">
        <f>VLOOKUP($A364,Questions!$A$3:$X$333,20,0)&amp;""</f>
        <v/>
      </c>
    </row>
    <row r="365" spans="1:5" ht="43" customHeight="1">
      <c r="A365" s="64" t="s">
        <v>859</v>
      </c>
      <c r="B365" s="64" t="str">
        <f>VLOOKUP($A365,Questions!$A$3:$X$333,2,0)&amp;""</f>
        <v>Do you watermark your ML training data?</v>
      </c>
      <c r="C365" s="64" t="str">
        <f>VLOOKUP($A365,Questions!$A$3:$X$333,19,0)&amp;""</f>
        <v/>
      </c>
      <c r="D365" s="64" t="str">
        <f>VLOOKUP($A365,Questions!$A$3:$X$333,20,0)&amp;""</f>
        <v/>
      </c>
      <c r="E365" s="258" t="s">
        <v>1536</v>
      </c>
    </row>
    <row r="366" spans="1:5" ht="43" customHeight="1">
      <c r="A366" s="70" t="str">
        <f>VLOOKUP(LEFT($A367,4),'Auto Responses'!$N$4:$O$38,2,0)&amp;""</f>
        <v xml:space="preserve"> AI Large Language Model (LLM)</v>
      </c>
      <c r="B366" s="70"/>
      <c r="C366" s="63" t="str">
        <f>Questions!$S$2</f>
        <v>Reason for Question</v>
      </c>
      <c r="D366" s="63" t="str">
        <f>Questions!$T$2</f>
        <v>Follow-Up Inquiries/Responses</v>
      </c>
    </row>
    <row r="367" spans="1:5" ht="43" customHeight="1">
      <c r="A367" s="64" t="s">
        <v>861</v>
      </c>
      <c r="B367" s="64" t="str">
        <f>VLOOKUP($A367,Questions!$A$3:$X$333,2,0)&amp;""</f>
        <v>Do you limit your solution's LLM privileges by default?*</v>
      </c>
      <c r="C367" s="64" t="str">
        <f>VLOOKUP($A367,Questions!$A$3:$X$333,19,0)&amp;""</f>
        <v>To be added in a later version</v>
      </c>
      <c r="D367" s="64" t="str">
        <f>VLOOKUP($A367,Questions!$A$3:$X$333,20,0)&amp;""</f>
        <v>To be added in a later version</v>
      </c>
    </row>
    <row r="368" spans="1:5" ht="43" customHeight="1">
      <c r="A368" s="64" t="s">
        <v>862</v>
      </c>
      <c r="B368" s="64" t="str">
        <f>VLOOKUP($A368,Questions!$A$3:$X$333,2,0)&amp;""</f>
        <v>Is your LLM training data vetted, validated, and verified before training the solution's AI model?*</v>
      </c>
      <c r="C368" s="64" t="str">
        <f>VLOOKUP($A368,Questions!$A$3:$X$333,19,0)&amp;""</f>
        <v/>
      </c>
      <c r="D368" s="64" t="str">
        <f>VLOOKUP($A368,Questions!$A$3:$X$333,20,0)&amp;""</f>
        <v/>
      </c>
    </row>
    <row r="369" spans="1:5" ht="43" customHeight="1">
      <c r="A369" s="64" t="s">
        <v>864</v>
      </c>
      <c r="B369" s="64" t="str">
        <f>VLOOKUP($A369,Questions!$A$3:$X$333,2,0)&amp;""</f>
        <v>Do any actions taken by your solution's LLM features or plugins require human intervention?*</v>
      </c>
      <c r="C369" s="64" t="str">
        <f>VLOOKUP($A369,Questions!$A$3:$X$333,19,0)&amp;""</f>
        <v/>
      </c>
      <c r="D369" s="64" t="str">
        <f>VLOOKUP($A369,Questions!$A$3:$X$333,20,0)&amp;""</f>
        <v/>
      </c>
    </row>
    <row r="370" spans="1:5" ht="43" customHeight="1">
      <c r="A370" s="64" t="s">
        <v>866</v>
      </c>
      <c r="B370" s="64" t="str">
        <f>VLOOKUP($A370,Questions!$A$3:$X$333,2,0)&amp;""</f>
        <v>Do you limit multiple LLM model plugins being called as part of a single input?*</v>
      </c>
      <c r="C370" s="64" t="str">
        <f>VLOOKUP($A370,Questions!$A$3:$X$333,19,0)&amp;""</f>
        <v/>
      </c>
      <c r="D370" s="64" t="str">
        <f>VLOOKUP($A370,Questions!$A$3:$X$333,20,0)&amp;""</f>
        <v/>
      </c>
    </row>
    <row r="371" spans="1:5" ht="43" customHeight="1">
      <c r="A371" s="64" t="s">
        <v>868</v>
      </c>
      <c r="B371" s="64" t="str">
        <f>VLOOKUP($A371,Questions!$A$3:$X$333,2,0)&amp;""</f>
        <v>Do you limit your solution's LLM resource use per request, per step, and per action?</v>
      </c>
      <c r="C371" s="64" t="str">
        <f>VLOOKUP($A371,Questions!$A$3:$X$333,19,0)&amp;""</f>
        <v/>
      </c>
      <c r="D371" s="64" t="str">
        <f>VLOOKUP($A371,Questions!$A$3:$X$333,20,0)&amp;""</f>
        <v/>
      </c>
    </row>
    <row r="372" spans="1:5" ht="43" customHeight="1">
      <c r="A372" s="64" t="s">
        <v>870</v>
      </c>
      <c r="B372" s="64" t="str">
        <f>VLOOKUP($A372,Questions!$A$3:$X$333,2,0)&amp;""</f>
        <v>Do you leverage LLM model tuning or other model validation mechanisms?</v>
      </c>
      <c r="C372" s="64" t="str">
        <f>VLOOKUP($A372,Questions!$A$3:$X$333,19,0)&amp;""</f>
        <v/>
      </c>
      <c r="D372" s="64" t="str">
        <f>VLOOKUP($A372,Questions!$A$3:$X$333,20,0)&amp;""</f>
        <v/>
      </c>
      <c r="E372" s="258" t="s">
        <v>1536</v>
      </c>
    </row>
    <row r="373" spans="1:5">
      <c r="A373" s="259" t="s">
        <v>1532</v>
      </c>
    </row>
    <row r="374" spans="1:5"/>
    <row r="375" spans="1:5"/>
    <row r="376" spans="1:5"/>
  </sheetData>
  <phoneticPr fontId="32"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C167 C179:D179 C200 C195 C207:D207 C261 D26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N74" activePane="bottomRight" state="frozen"/>
      <selection pane="topRight" activeCell="C1" sqref="C1"/>
      <selection pane="bottomLeft" activeCell="A2" sqref="A2"/>
      <selection pane="bottomRight" activeCell="R76" sqref="R76"/>
    </sheetView>
  </sheetViews>
  <sheetFormatPr baseColWidth="10" defaultColWidth="8.75" defaultRowHeight="15.75" customHeight="1"/>
  <cols>
    <col min="1" max="1" width="8.75" style="8" customWidth="1"/>
    <col min="2" max="2" width="35.75" style="8" customWidth="1"/>
    <col min="3" max="3" width="6.25" style="8" customWidth="1"/>
    <col min="4" max="4" width="5.875" style="8" customWidth="1"/>
    <col min="5" max="5" width="6.75" style="8" customWidth="1"/>
    <col min="6" max="7" width="7.25" style="8" customWidth="1"/>
    <col min="8" max="9" width="7.5" style="8" customWidth="1"/>
    <col min="10" max="10" width="6.875" style="8" customWidth="1"/>
    <col min="11" max="11" width="15.375" style="8" customWidth="1"/>
    <col min="12" max="12" width="12.75" style="8" customWidth="1"/>
    <col min="13" max="13" width="8.75" style="8" customWidth="1"/>
    <col min="14" max="20" width="18.25" style="8" customWidth="1"/>
    <col min="21" max="22" width="8.75" style="8" customWidth="1"/>
    <col min="23" max="23" width="10.875" style="8" customWidth="1"/>
    <col min="24" max="24" width="11.25" style="8" customWidth="1"/>
    <col min="25" max="16384" width="8.75" style="8"/>
  </cols>
  <sheetData>
    <row r="1" spans="1:24" ht="15.75" hidden="1" customHeight="1">
      <c r="A1" s="260" t="s">
        <v>1540</v>
      </c>
    </row>
    <row r="2" spans="1:24" ht="30">
      <c r="A2" s="2" t="s">
        <v>0</v>
      </c>
      <c r="B2" s="2" t="s">
        <v>1</v>
      </c>
      <c r="C2" s="3" t="s">
        <v>2</v>
      </c>
      <c r="D2" s="3" t="s">
        <v>3</v>
      </c>
      <c r="E2" s="3" t="s">
        <v>4</v>
      </c>
      <c r="F2" s="3" t="s">
        <v>5</v>
      </c>
      <c r="G2" s="3" t="s">
        <v>6</v>
      </c>
      <c r="H2" s="3" t="s">
        <v>7</v>
      </c>
      <c r="I2" s="3" t="s">
        <v>8</v>
      </c>
      <c r="J2" s="3" t="s">
        <v>9</v>
      </c>
      <c r="K2" s="4" t="s">
        <v>10</v>
      </c>
      <c r="L2" s="3" t="s">
        <v>11</v>
      </c>
      <c r="M2" s="5" t="s">
        <v>12</v>
      </c>
      <c r="N2" s="3" t="s">
        <v>13</v>
      </c>
      <c r="O2" s="3" t="s">
        <v>14</v>
      </c>
      <c r="P2" s="3" t="s">
        <v>15</v>
      </c>
      <c r="Q2" s="3" t="s">
        <v>16</v>
      </c>
      <c r="R2" s="3" t="s">
        <v>1613</v>
      </c>
      <c r="S2" s="6" t="s">
        <v>17</v>
      </c>
      <c r="T2" s="6" t="s">
        <v>929</v>
      </c>
      <c r="U2" s="7" t="s">
        <v>925</v>
      </c>
      <c r="V2" s="7" t="s">
        <v>18</v>
      </c>
      <c r="W2" s="7" t="s">
        <v>19</v>
      </c>
      <c r="X2" s="7" t="s">
        <v>20</v>
      </c>
    </row>
    <row r="3" spans="1:24" ht="15">
      <c r="A3" s="232" t="s">
        <v>21</v>
      </c>
      <c r="B3" s="232" t="s">
        <v>1459</v>
      </c>
      <c r="C3" s="232">
        <v>1</v>
      </c>
      <c r="D3" s="232">
        <v>1</v>
      </c>
      <c r="E3" s="232">
        <v>1</v>
      </c>
      <c r="F3" s="232">
        <v>1</v>
      </c>
      <c r="G3" s="232">
        <v>1</v>
      </c>
      <c r="H3" s="232">
        <v>1</v>
      </c>
      <c r="I3" s="232">
        <v>1</v>
      </c>
      <c r="J3" s="232">
        <v>1</v>
      </c>
      <c r="K3" s="232" t="s">
        <v>22</v>
      </c>
      <c r="L3" s="232" t="s">
        <v>23</v>
      </c>
      <c r="M3" s="232">
        <v>0</v>
      </c>
      <c r="N3" s="232" t="s">
        <v>1032</v>
      </c>
      <c r="O3" s="232" t="s">
        <v>1032</v>
      </c>
      <c r="P3" s="232" t="s">
        <v>1032</v>
      </c>
      <c r="Q3" s="232" t="s">
        <v>1032</v>
      </c>
      <c r="R3" s="232"/>
      <c r="S3" s="232" t="s">
        <v>1032</v>
      </c>
      <c r="T3" s="232" t="s">
        <v>1032</v>
      </c>
      <c r="U3" s="232" t="s">
        <v>1062</v>
      </c>
      <c r="V3" s="232" t="s">
        <v>1032</v>
      </c>
      <c r="W3" s="232" t="s">
        <v>1032</v>
      </c>
      <c r="X3" s="232">
        <f t="shared" ref="X3:X65" si="0">IF($W3="Critical Importance",20,IF($W3="Minor Importance",5,10))</f>
        <v>10</v>
      </c>
    </row>
    <row r="4" spans="1:24" ht="15">
      <c r="A4" s="232" t="s">
        <v>24</v>
      </c>
      <c r="B4" s="232" t="s">
        <v>1279</v>
      </c>
      <c r="C4" s="232">
        <v>1</v>
      </c>
      <c r="D4" s="232">
        <v>1</v>
      </c>
      <c r="E4" s="232">
        <v>1</v>
      </c>
      <c r="F4" s="232">
        <v>1</v>
      </c>
      <c r="G4" s="232">
        <v>1</v>
      </c>
      <c r="H4" s="232">
        <v>1</v>
      </c>
      <c r="I4" s="232">
        <v>1</v>
      </c>
      <c r="J4" s="232">
        <v>1</v>
      </c>
      <c r="K4" s="232" t="s">
        <v>22</v>
      </c>
      <c r="L4" s="232" t="s">
        <v>23</v>
      </c>
      <c r="M4" s="232" t="s">
        <v>1040</v>
      </c>
      <c r="N4" s="232" t="s">
        <v>1032</v>
      </c>
      <c r="O4" s="232" t="s">
        <v>1032</v>
      </c>
      <c r="P4" s="232" t="s">
        <v>1032</v>
      </c>
      <c r="Q4" s="232" t="s">
        <v>1032</v>
      </c>
      <c r="R4" s="232"/>
      <c r="S4" s="232" t="s">
        <v>1032</v>
      </c>
      <c r="T4" s="232" t="s">
        <v>1032</v>
      </c>
      <c r="U4" s="232" t="s">
        <v>1062</v>
      </c>
      <c r="V4" s="232" t="s">
        <v>1032</v>
      </c>
      <c r="W4" s="232" t="s">
        <v>1032</v>
      </c>
      <c r="X4" s="232">
        <f t="shared" si="0"/>
        <v>10</v>
      </c>
    </row>
    <row r="5" spans="1:24" ht="15">
      <c r="A5" s="232" t="s">
        <v>25</v>
      </c>
      <c r="B5" s="232" t="s">
        <v>1280</v>
      </c>
      <c r="C5" s="232">
        <v>1</v>
      </c>
      <c r="D5" s="232">
        <v>1</v>
      </c>
      <c r="E5" s="232">
        <v>1</v>
      </c>
      <c r="F5" s="232">
        <v>1</v>
      </c>
      <c r="G5" s="232">
        <v>1</v>
      </c>
      <c r="H5" s="232">
        <v>1</v>
      </c>
      <c r="I5" s="232">
        <v>1</v>
      </c>
      <c r="J5" s="232">
        <v>1</v>
      </c>
      <c r="K5" s="232" t="s">
        <v>22</v>
      </c>
      <c r="L5" s="232" t="s">
        <v>23</v>
      </c>
      <c r="M5" s="232" t="s">
        <v>1040</v>
      </c>
      <c r="N5" s="232" t="s">
        <v>1032</v>
      </c>
      <c r="O5" s="232" t="s">
        <v>1032</v>
      </c>
      <c r="P5" s="232" t="s">
        <v>1032</v>
      </c>
      <c r="Q5" s="232" t="s">
        <v>1032</v>
      </c>
      <c r="R5" s="232"/>
      <c r="S5" s="232" t="s">
        <v>1032</v>
      </c>
      <c r="T5" s="232" t="s">
        <v>1032</v>
      </c>
      <c r="U5" s="232" t="s">
        <v>1062</v>
      </c>
      <c r="V5" s="232" t="s">
        <v>1032</v>
      </c>
      <c r="W5" s="232" t="s">
        <v>1032</v>
      </c>
      <c r="X5" s="232">
        <f t="shared" si="0"/>
        <v>10</v>
      </c>
    </row>
    <row r="6" spans="1:24" ht="15">
      <c r="A6" s="232" t="s">
        <v>26</v>
      </c>
      <c r="B6" s="232" t="s">
        <v>1460</v>
      </c>
      <c r="C6" s="232">
        <v>1</v>
      </c>
      <c r="D6" s="232">
        <v>1</v>
      </c>
      <c r="E6" s="232">
        <v>0</v>
      </c>
      <c r="F6" s="232">
        <v>0</v>
      </c>
      <c r="G6" s="232">
        <v>0</v>
      </c>
      <c r="H6" s="232">
        <v>0</v>
      </c>
      <c r="I6" s="232">
        <v>0</v>
      </c>
      <c r="J6" s="232">
        <v>0</v>
      </c>
      <c r="K6" s="232" t="s">
        <v>22</v>
      </c>
      <c r="L6" s="232" t="s">
        <v>23</v>
      </c>
      <c r="M6" s="232" t="s">
        <v>1040</v>
      </c>
      <c r="N6" s="232" t="s">
        <v>1032</v>
      </c>
      <c r="O6" s="232" t="s">
        <v>1032</v>
      </c>
      <c r="P6" s="232" t="s">
        <v>1032</v>
      </c>
      <c r="Q6" s="232" t="s">
        <v>1032</v>
      </c>
      <c r="R6" s="232"/>
      <c r="S6" s="232" t="s">
        <v>1032</v>
      </c>
      <c r="T6" s="232" t="s">
        <v>1032</v>
      </c>
      <c r="U6" s="232" t="s">
        <v>1062</v>
      </c>
      <c r="V6" s="232" t="s">
        <v>1032</v>
      </c>
      <c r="W6" s="232" t="s">
        <v>1032</v>
      </c>
      <c r="X6" s="232">
        <f t="shared" si="0"/>
        <v>10</v>
      </c>
    </row>
    <row r="7" spans="1:24" ht="15">
      <c r="A7" s="232" t="s">
        <v>27</v>
      </c>
      <c r="B7" s="232" t="s">
        <v>1461</v>
      </c>
      <c r="C7" s="232">
        <v>1</v>
      </c>
      <c r="D7" s="232">
        <v>1</v>
      </c>
      <c r="E7" s="232">
        <v>0</v>
      </c>
      <c r="F7" s="232">
        <v>0</v>
      </c>
      <c r="G7" s="232">
        <v>0</v>
      </c>
      <c r="H7" s="232">
        <v>0</v>
      </c>
      <c r="I7" s="232">
        <v>0</v>
      </c>
      <c r="J7" s="232">
        <v>0</v>
      </c>
      <c r="K7" s="232" t="s">
        <v>22</v>
      </c>
      <c r="L7" s="232" t="s">
        <v>23</v>
      </c>
      <c r="M7" s="232" t="s">
        <v>1040</v>
      </c>
      <c r="N7" s="232" t="s">
        <v>1032</v>
      </c>
      <c r="O7" s="232" t="s">
        <v>1032</v>
      </c>
      <c r="P7" s="232" t="s">
        <v>1032</v>
      </c>
      <c r="Q7" s="232" t="s">
        <v>1032</v>
      </c>
      <c r="R7" s="232"/>
      <c r="S7" s="232" t="s">
        <v>1032</v>
      </c>
      <c r="T7" s="232" t="s">
        <v>1032</v>
      </c>
      <c r="U7" s="232" t="s">
        <v>1062</v>
      </c>
      <c r="V7" s="232" t="s">
        <v>1032</v>
      </c>
      <c r="W7" s="232" t="s">
        <v>1032</v>
      </c>
      <c r="X7" s="232">
        <f t="shared" si="0"/>
        <v>10</v>
      </c>
    </row>
    <row r="8" spans="1:24" ht="15">
      <c r="A8" s="232" t="s">
        <v>28</v>
      </c>
      <c r="B8" s="232" t="s">
        <v>1462</v>
      </c>
      <c r="C8" s="232">
        <v>1</v>
      </c>
      <c r="D8" s="232">
        <v>1</v>
      </c>
      <c r="E8" s="232">
        <v>0</v>
      </c>
      <c r="F8" s="232">
        <v>0</v>
      </c>
      <c r="G8" s="232">
        <v>0</v>
      </c>
      <c r="H8" s="232">
        <v>0</v>
      </c>
      <c r="I8" s="232">
        <v>0</v>
      </c>
      <c r="J8" s="232">
        <v>0</v>
      </c>
      <c r="K8" s="232" t="s">
        <v>22</v>
      </c>
      <c r="L8" s="232" t="s">
        <v>23</v>
      </c>
      <c r="M8" s="232" t="s">
        <v>1040</v>
      </c>
      <c r="N8" s="232" t="s">
        <v>1032</v>
      </c>
      <c r="O8" s="232" t="s">
        <v>1032</v>
      </c>
      <c r="P8" s="232" t="s">
        <v>1032</v>
      </c>
      <c r="Q8" s="232" t="s">
        <v>1032</v>
      </c>
      <c r="R8" s="232"/>
      <c r="S8" s="232" t="s">
        <v>1032</v>
      </c>
      <c r="T8" s="232" t="s">
        <v>1032</v>
      </c>
      <c r="U8" s="232" t="s">
        <v>1062</v>
      </c>
      <c r="V8" s="232" t="s">
        <v>1032</v>
      </c>
      <c r="W8" s="232" t="s">
        <v>1032</v>
      </c>
      <c r="X8" s="232">
        <f t="shared" si="0"/>
        <v>10</v>
      </c>
    </row>
    <row r="9" spans="1:24" ht="15">
      <c r="A9" s="232" t="s">
        <v>29</v>
      </c>
      <c r="B9" s="232" t="s">
        <v>1463</v>
      </c>
      <c r="C9" s="232">
        <v>1</v>
      </c>
      <c r="D9" s="232">
        <v>1</v>
      </c>
      <c r="E9" s="232">
        <v>0</v>
      </c>
      <c r="F9" s="232">
        <v>0</v>
      </c>
      <c r="G9" s="232">
        <v>0</v>
      </c>
      <c r="H9" s="232">
        <v>0</v>
      </c>
      <c r="I9" s="232">
        <v>0</v>
      </c>
      <c r="J9" s="232">
        <v>0</v>
      </c>
      <c r="K9" s="232" t="s">
        <v>22</v>
      </c>
      <c r="L9" s="232" t="s">
        <v>23</v>
      </c>
      <c r="M9" s="232" t="s">
        <v>1040</v>
      </c>
      <c r="N9" s="232" t="s">
        <v>1032</v>
      </c>
      <c r="O9" s="232" t="s">
        <v>1032</v>
      </c>
      <c r="P9" s="232" t="s">
        <v>1032</v>
      </c>
      <c r="Q9" s="232" t="s">
        <v>1032</v>
      </c>
      <c r="R9" s="232"/>
      <c r="S9" s="232" t="s">
        <v>1032</v>
      </c>
      <c r="T9" s="232" t="s">
        <v>1032</v>
      </c>
      <c r="U9" s="232" t="s">
        <v>1062</v>
      </c>
      <c r="V9" s="232" t="s">
        <v>1032</v>
      </c>
      <c r="W9" s="232" t="s">
        <v>1032</v>
      </c>
      <c r="X9" s="232">
        <f t="shared" si="0"/>
        <v>10</v>
      </c>
    </row>
    <row r="10" spans="1:24" ht="15">
      <c r="A10" s="232" t="s">
        <v>30</v>
      </c>
      <c r="B10" s="232" t="s">
        <v>31</v>
      </c>
      <c r="C10" s="232">
        <v>1</v>
      </c>
      <c r="D10" s="232">
        <v>1</v>
      </c>
      <c r="E10" s="232">
        <v>1</v>
      </c>
      <c r="F10" s="232">
        <v>1</v>
      </c>
      <c r="G10" s="232">
        <v>1</v>
      </c>
      <c r="H10" s="232">
        <v>1</v>
      </c>
      <c r="I10" s="232">
        <v>1</v>
      </c>
      <c r="J10" s="232">
        <v>1</v>
      </c>
      <c r="K10" s="232" t="s">
        <v>22</v>
      </c>
      <c r="L10" s="232" t="s">
        <v>23</v>
      </c>
      <c r="M10" s="232" t="s">
        <v>1032</v>
      </c>
      <c r="N10" s="232" t="s">
        <v>1032</v>
      </c>
      <c r="O10" s="232" t="s">
        <v>1032</v>
      </c>
      <c r="P10" s="232" t="s">
        <v>1032</v>
      </c>
      <c r="Q10" s="232" t="s">
        <v>1032</v>
      </c>
      <c r="R10" s="232"/>
      <c r="S10" s="232" t="s">
        <v>1032</v>
      </c>
      <c r="T10" s="232" t="s">
        <v>1032</v>
      </c>
      <c r="U10" s="232" t="s">
        <v>1062</v>
      </c>
      <c r="V10" s="232" t="s">
        <v>1032</v>
      </c>
      <c r="W10" s="232" t="s">
        <v>1032</v>
      </c>
      <c r="X10" s="232">
        <f t="shared" si="0"/>
        <v>10</v>
      </c>
    </row>
    <row r="11" spans="1:24" ht="45">
      <c r="A11" s="232" t="s">
        <v>32</v>
      </c>
      <c r="B11" s="232" t="s">
        <v>33</v>
      </c>
      <c r="C11" s="232">
        <v>1</v>
      </c>
      <c r="D11" s="232">
        <v>0</v>
      </c>
      <c r="E11" s="232">
        <v>0</v>
      </c>
      <c r="F11" s="232">
        <v>0</v>
      </c>
      <c r="G11" s="232">
        <v>0</v>
      </c>
      <c r="H11" s="232">
        <v>0</v>
      </c>
      <c r="I11" s="232">
        <v>0</v>
      </c>
      <c r="J11" s="232">
        <v>1</v>
      </c>
      <c r="K11" s="232" t="s">
        <v>22</v>
      </c>
      <c r="L11" s="232" t="s">
        <v>23</v>
      </c>
      <c r="M11" s="232" t="s">
        <v>1040</v>
      </c>
      <c r="N11" s="232" t="s">
        <v>1032</v>
      </c>
      <c r="O11" s="232" t="s">
        <v>1032</v>
      </c>
      <c r="P11" s="232" t="s">
        <v>1032</v>
      </c>
      <c r="Q11" s="232" t="s">
        <v>1032</v>
      </c>
      <c r="R11" s="232"/>
      <c r="S11" s="232" t="s">
        <v>1292</v>
      </c>
      <c r="T11" s="232" t="s">
        <v>34</v>
      </c>
      <c r="U11" s="232" t="s">
        <v>1062</v>
      </c>
      <c r="V11" s="232" t="s">
        <v>1032</v>
      </c>
      <c r="W11" s="232" t="s">
        <v>1032</v>
      </c>
      <c r="X11" s="232">
        <f t="shared" si="0"/>
        <v>10</v>
      </c>
    </row>
    <row r="12" spans="1:24" ht="240">
      <c r="A12" s="232" t="s">
        <v>35</v>
      </c>
      <c r="B12" s="232" t="s">
        <v>1114</v>
      </c>
      <c r="C12" s="232">
        <v>1</v>
      </c>
      <c r="D12" s="232">
        <v>0</v>
      </c>
      <c r="E12" s="232">
        <v>0</v>
      </c>
      <c r="F12" s="232">
        <v>0</v>
      </c>
      <c r="G12" s="232">
        <v>0</v>
      </c>
      <c r="H12" s="232">
        <v>0</v>
      </c>
      <c r="I12" s="232">
        <v>0</v>
      </c>
      <c r="J12" s="232">
        <v>1</v>
      </c>
      <c r="K12" s="232"/>
      <c r="L12" s="232" t="s">
        <v>38</v>
      </c>
      <c r="M12" s="232" t="s">
        <v>1040</v>
      </c>
      <c r="N12" s="232" t="s">
        <v>1032</v>
      </c>
      <c r="O12" s="232" t="s">
        <v>1032</v>
      </c>
      <c r="P12" s="232" t="s">
        <v>1115</v>
      </c>
      <c r="Q12" s="232" t="s">
        <v>1116</v>
      </c>
      <c r="R12" s="232"/>
      <c r="S12" s="232" t="s">
        <v>1293</v>
      </c>
      <c r="T12" s="232" t="s">
        <v>1294</v>
      </c>
      <c r="U12" s="232" t="s">
        <v>40</v>
      </c>
      <c r="V12" s="232" t="s">
        <v>1040</v>
      </c>
      <c r="W12" s="232" t="s">
        <v>46</v>
      </c>
      <c r="X12" s="232">
        <f t="shared" si="0"/>
        <v>20</v>
      </c>
    </row>
    <row r="13" spans="1:24" ht="105">
      <c r="A13" s="232" t="s">
        <v>42</v>
      </c>
      <c r="B13" s="232" t="s">
        <v>36</v>
      </c>
      <c r="C13" s="232">
        <v>1</v>
      </c>
      <c r="D13" s="232">
        <v>0</v>
      </c>
      <c r="E13" s="232">
        <v>0</v>
      </c>
      <c r="F13" s="232">
        <v>0</v>
      </c>
      <c r="G13" s="232">
        <v>0</v>
      </c>
      <c r="H13" s="232">
        <v>0</v>
      </c>
      <c r="I13" s="232">
        <v>0</v>
      </c>
      <c r="J13" s="232">
        <v>1</v>
      </c>
      <c r="K13" s="232"/>
      <c r="L13" s="232" t="s">
        <v>1062</v>
      </c>
      <c r="M13" s="232" t="s">
        <v>1040</v>
      </c>
      <c r="N13" s="232" t="s">
        <v>1032</v>
      </c>
      <c r="O13" s="232" t="s">
        <v>39</v>
      </c>
      <c r="P13" s="232" t="s">
        <v>1032</v>
      </c>
      <c r="Q13" s="232" t="s">
        <v>1032</v>
      </c>
      <c r="R13" s="232"/>
      <c r="S13" s="232" t="s">
        <v>1489</v>
      </c>
      <c r="T13" s="232" t="s">
        <v>1295</v>
      </c>
      <c r="U13" s="232" t="s">
        <v>1062</v>
      </c>
      <c r="V13" s="232" t="s">
        <v>1040</v>
      </c>
      <c r="W13" s="232" t="s">
        <v>41</v>
      </c>
      <c r="X13" s="232">
        <f t="shared" si="0"/>
        <v>5</v>
      </c>
    </row>
    <row r="14" spans="1:24" ht="180">
      <c r="A14" s="232" t="s">
        <v>44</v>
      </c>
      <c r="B14" s="232" t="s">
        <v>1225</v>
      </c>
      <c r="C14" s="232">
        <v>1</v>
      </c>
      <c r="D14" s="232">
        <v>0</v>
      </c>
      <c r="E14" s="232">
        <v>0</v>
      </c>
      <c r="F14" s="232">
        <v>0</v>
      </c>
      <c r="G14" s="232">
        <v>0</v>
      </c>
      <c r="H14" s="232">
        <v>0</v>
      </c>
      <c r="I14" s="232">
        <v>0</v>
      </c>
      <c r="J14" s="232">
        <v>1</v>
      </c>
      <c r="K14" s="232"/>
      <c r="L14" s="232" t="s">
        <v>38</v>
      </c>
      <c r="M14" s="232" t="s">
        <v>1040</v>
      </c>
      <c r="N14" s="232" t="s">
        <v>1032</v>
      </c>
      <c r="O14" s="232" t="s">
        <v>1032</v>
      </c>
      <c r="P14" s="232" t="s">
        <v>43</v>
      </c>
      <c r="Q14" s="232" t="s">
        <v>1032</v>
      </c>
      <c r="R14" s="232"/>
      <c r="S14" s="232" t="s">
        <v>1296</v>
      </c>
      <c r="T14" s="232" t="s">
        <v>1297</v>
      </c>
      <c r="U14" s="232" t="s">
        <v>40</v>
      </c>
      <c r="V14" s="232" t="s">
        <v>1040</v>
      </c>
      <c r="W14" s="232" t="s">
        <v>41</v>
      </c>
      <c r="X14" s="232">
        <f t="shared" si="0"/>
        <v>5</v>
      </c>
    </row>
    <row r="15" spans="1:24" ht="225">
      <c r="A15" s="232" t="s">
        <v>45</v>
      </c>
      <c r="B15" s="232" t="s">
        <v>1117</v>
      </c>
      <c r="C15" s="232">
        <v>1</v>
      </c>
      <c r="D15" s="232">
        <v>0</v>
      </c>
      <c r="E15" s="232">
        <v>0</v>
      </c>
      <c r="F15" s="232">
        <v>0</v>
      </c>
      <c r="G15" s="232">
        <v>0</v>
      </c>
      <c r="H15" s="232">
        <v>0</v>
      </c>
      <c r="I15" s="232">
        <v>0</v>
      </c>
      <c r="J15" s="232">
        <v>1</v>
      </c>
      <c r="K15" s="232"/>
      <c r="L15" s="232" t="s">
        <v>38</v>
      </c>
      <c r="M15" s="232" t="s">
        <v>1040</v>
      </c>
      <c r="N15" s="232" t="s">
        <v>1032</v>
      </c>
      <c r="O15" s="232" t="s">
        <v>1032</v>
      </c>
      <c r="P15" s="232" t="s">
        <v>1118</v>
      </c>
      <c r="Q15" s="232" t="s">
        <v>1119</v>
      </c>
      <c r="R15" s="232"/>
      <c r="S15" s="232" t="s">
        <v>1488</v>
      </c>
      <c r="T15" s="232" t="s">
        <v>1464</v>
      </c>
      <c r="U15" s="232" t="s">
        <v>40</v>
      </c>
      <c r="V15" s="232" t="s">
        <v>1040</v>
      </c>
      <c r="W15" s="232" t="s">
        <v>41</v>
      </c>
      <c r="X15" s="232">
        <f t="shared" si="0"/>
        <v>5</v>
      </c>
    </row>
    <row r="16" spans="1:24" ht="195">
      <c r="A16" s="232" t="s">
        <v>47</v>
      </c>
      <c r="B16" s="232" t="s">
        <v>1120</v>
      </c>
      <c r="C16" s="232">
        <v>1</v>
      </c>
      <c r="D16" s="232">
        <v>0</v>
      </c>
      <c r="E16" s="232">
        <v>0</v>
      </c>
      <c r="F16" s="232">
        <v>0</v>
      </c>
      <c r="G16" s="232">
        <v>0</v>
      </c>
      <c r="H16" s="232">
        <v>0</v>
      </c>
      <c r="I16" s="232">
        <v>0</v>
      </c>
      <c r="J16" s="232">
        <v>0</v>
      </c>
      <c r="K16" s="232"/>
      <c r="L16" s="232" t="s">
        <v>23</v>
      </c>
      <c r="M16" s="232">
        <v>0</v>
      </c>
      <c r="N16" s="232"/>
      <c r="O16" s="232" t="s">
        <v>1226</v>
      </c>
      <c r="P16" s="232"/>
      <c r="Q16" s="232"/>
      <c r="R16" s="232"/>
      <c r="S16" s="232" t="s">
        <v>1298</v>
      </c>
      <c r="T16" s="232" t="s">
        <v>1299</v>
      </c>
      <c r="U16" s="232" t="s">
        <v>1062</v>
      </c>
      <c r="V16" s="232">
        <v>0</v>
      </c>
      <c r="W16" s="232" t="s">
        <v>41</v>
      </c>
      <c r="X16" s="232">
        <f t="shared" si="0"/>
        <v>5</v>
      </c>
    </row>
    <row r="17" spans="1:24" ht="45">
      <c r="A17" s="232" t="s">
        <v>48</v>
      </c>
      <c r="B17" s="326" t="s">
        <v>1608</v>
      </c>
      <c r="C17" s="232">
        <v>1</v>
      </c>
      <c r="D17" s="232">
        <v>0</v>
      </c>
      <c r="E17" s="232">
        <v>1</v>
      </c>
      <c r="F17" s="232">
        <v>1</v>
      </c>
      <c r="G17" s="232">
        <v>0</v>
      </c>
      <c r="H17" s="232">
        <v>0</v>
      </c>
      <c r="I17" s="232">
        <v>0</v>
      </c>
      <c r="J17" s="232">
        <v>0</v>
      </c>
      <c r="K17" s="232" t="s">
        <v>22</v>
      </c>
      <c r="L17" s="232" t="s">
        <v>23</v>
      </c>
      <c r="M17" s="232" t="s">
        <v>1032</v>
      </c>
      <c r="N17" s="232" t="s">
        <v>1032</v>
      </c>
      <c r="O17" s="232" t="s">
        <v>999</v>
      </c>
      <c r="P17" s="232" t="s">
        <v>49</v>
      </c>
      <c r="Q17" s="232" t="s">
        <v>50</v>
      </c>
      <c r="R17" s="232"/>
      <c r="S17" s="232" t="s">
        <v>1032</v>
      </c>
      <c r="T17" s="232" t="s">
        <v>1032</v>
      </c>
      <c r="U17" s="232" t="s">
        <v>1062</v>
      </c>
      <c r="V17" s="232" t="s">
        <v>1032</v>
      </c>
      <c r="W17" s="232" t="s">
        <v>1032</v>
      </c>
      <c r="X17" s="232">
        <f t="shared" si="0"/>
        <v>10</v>
      </c>
    </row>
    <row r="18" spans="1:24" ht="60">
      <c r="A18" s="232" t="s">
        <v>51</v>
      </c>
      <c r="B18" s="232" t="s">
        <v>1490</v>
      </c>
      <c r="C18" s="232">
        <v>1</v>
      </c>
      <c r="D18" s="232">
        <v>0</v>
      </c>
      <c r="E18" s="232">
        <v>0</v>
      </c>
      <c r="F18" s="232">
        <v>0</v>
      </c>
      <c r="G18" s="232">
        <v>1</v>
      </c>
      <c r="H18" s="232">
        <v>0</v>
      </c>
      <c r="I18" s="232">
        <v>0</v>
      </c>
      <c r="J18" s="232">
        <v>0</v>
      </c>
      <c r="K18" s="232" t="s">
        <v>22</v>
      </c>
      <c r="L18" s="232" t="s">
        <v>23</v>
      </c>
      <c r="M18" s="232" t="s">
        <v>1032</v>
      </c>
      <c r="N18" s="232" t="s">
        <v>1032</v>
      </c>
      <c r="O18" s="232" t="s">
        <v>1479</v>
      </c>
      <c r="P18" s="232" t="s">
        <v>52</v>
      </c>
      <c r="Q18" s="232" t="s">
        <v>53</v>
      </c>
      <c r="R18" s="232"/>
      <c r="S18" s="232" t="s">
        <v>1032</v>
      </c>
      <c r="T18" s="232" t="s">
        <v>1032</v>
      </c>
      <c r="U18" s="232" t="s">
        <v>1062</v>
      </c>
      <c r="V18" s="232" t="s">
        <v>1032</v>
      </c>
      <c r="W18" s="232" t="s">
        <v>1032</v>
      </c>
      <c r="X18" s="232">
        <f t="shared" si="0"/>
        <v>10</v>
      </c>
    </row>
    <row r="19" spans="1:24" ht="45">
      <c r="A19" s="232" t="s">
        <v>54</v>
      </c>
      <c r="B19" s="232" t="s">
        <v>55</v>
      </c>
      <c r="C19" s="232">
        <v>1</v>
      </c>
      <c r="D19" s="232">
        <v>0</v>
      </c>
      <c r="E19" s="232">
        <v>0</v>
      </c>
      <c r="F19" s="232">
        <v>0</v>
      </c>
      <c r="G19" s="232">
        <v>0</v>
      </c>
      <c r="H19" s="232">
        <v>1</v>
      </c>
      <c r="I19" s="232">
        <v>0</v>
      </c>
      <c r="J19" s="232">
        <v>0</v>
      </c>
      <c r="K19" s="232" t="s">
        <v>22</v>
      </c>
      <c r="L19" s="232" t="s">
        <v>23</v>
      </c>
      <c r="M19" s="232" t="s">
        <v>1032</v>
      </c>
      <c r="N19" s="232" t="s">
        <v>1032</v>
      </c>
      <c r="O19" s="232" t="s">
        <v>1032</v>
      </c>
      <c r="P19" s="232" t="s">
        <v>56</v>
      </c>
      <c r="Q19" s="232" t="s">
        <v>57</v>
      </c>
      <c r="R19" s="232"/>
      <c r="S19" s="232" t="s">
        <v>1032</v>
      </c>
      <c r="T19" s="232" t="s">
        <v>1032</v>
      </c>
      <c r="U19" s="232" t="s">
        <v>1062</v>
      </c>
      <c r="V19" s="232" t="s">
        <v>1032</v>
      </c>
      <c r="W19" s="232" t="s">
        <v>1032</v>
      </c>
      <c r="X19" s="232">
        <f t="shared" si="0"/>
        <v>10</v>
      </c>
    </row>
    <row r="20" spans="1:24" ht="45">
      <c r="A20" s="232" t="s">
        <v>58</v>
      </c>
      <c r="B20" s="232" t="s">
        <v>1227</v>
      </c>
      <c r="C20" s="232">
        <v>1</v>
      </c>
      <c r="D20" s="232">
        <v>0</v>
      </c>
      <c r="E20" s="232">
        <v>0</v>
      </c>
      <c r="F20" s="232">
        <v>0</v>
      </c>
      <c r="G20" s="232">
        <v>0</v>
      </c>
      <c r="H20" s="232">
        <v>0</v>
      </c>
      <c r="I20" s="232">
        <v>1</v>
      </c>
      <c r="J20" s="232">
        <v>1</v>
      </c>
      <c r="K20" s="232" t="s">
        <v>22</v>
      </c>
      <c r="L20" s="232" t="s">
        <v>23</v>
      </c>
      <c r="M20" s="232" t="s">
        <v>1032</v>
      </c>
      <c r="N20" s="232" t="s">
        <v>1032</v>
      </c>
      <c r="O20" s="232" t="s">
        <v>1032</v>
      </c>
      <c r="P20" s="232" t="s">
        <v>59</v>
      </c>
      <c r="Q20" s="232" t="s">
        <v>60</v>
      </c>
      <c r="R20" s="232"/>
      <c r="S20" s="232" t="s">
        <v>1032</v>
      </c>
      <c r="T20" s="232" t="s">
        <v>1032</v>
      </c>
      <c r="U20" s="232" t="s">
        <v>1062</v>
      </c>
      <c r="V20" s="232" t="s">
        <v>1032</v>
      </c>
      <c r="W20" s="232" t="s">
        <v>1032</v>
      </c>
      <c r="X20" s="232">
        <f t="shared" si="0"/>
        <v>10</v>
      </c>
    </row>
    <row r="21" spans="1:24" ht="75">
      <c r="A21" s="232" t="s">
        <v>61</v>
      </c>
      <c r="B21" s="232" t="s">
        <v>1228</v>
      </c>
      <c r="C21" s="232">
        <v>1</v>
      </c>
      <c r="D21" s="232">
        <v>0</v>
      </c>
      <c r="E21" s="232">
        <v>0</v>
      </c>
      <c r="F21" s="232">
        <v>0</v>
      </c>
      <c r="G21" s="232">
        <v>0</v>
      </c>
      <c r="H21" s="232">
        <v>1</v>
      </c>
      <c r="I21" s="232">
        <v>0</v>
      </c>
      <c r="J21" s="232">
        <v>1</v>
      </c>
      <c r="K21" s="232" t="s">
        <v>22</v>
      </c>
      <c r="L21" s="232" t="s">
        <v>23</v>
      </c>
      <c r="M21" s="232" t="s">
        <v>1040</v>
      </c>
      <c r="N21" s="232" t="s">
        <v>1032</v>
      </c>
      <c r="O21" s="232" t="s">
        <v>1229</v>
      </c>
      <c r="P21" s="232" t="s">
        <v>62</v>
      </c>
      <c r="Q21" s="232" t="s">
        <v>63</v>
      </c>
      <c r="R21" s="232"/>
      <c r="S21" s="232"/>
      <c r="T21" s="232"/>
      <c r="U21" s="232" t="s">
        <v>1062</v>
      </c>
      <c r="V21" s="232"/>
      <c r="W21" s="232"/>
      <c r="X21" s="232">
        <f t="shared" si="0"/>
        <v>10</v>
      </c>
    </row>
    <row r="22" spans="1:24" ht="60">
      <c r="A22" s="232" t="s">
        <v>64</v>
      </c>
      <c r="B22" s="232" t="s">
        <v>1491</v>
      </c>
      <c r="C22" s="232">
        <v>1</v>
      </c>
      <c r="D22" s="232">
        <v>0</v>
      </c>
      <c r="E22" s="232">
        <v>0</v>
      </c>
      <c r="F22" s="232">
        <v>0</v>
      </c>
      <c r="G22" s="232">
        <v>0</v>
      </c>
      <c r="H22" s="232">
        <v>1</v>
      </c>
      <c r="I22" s="232">
        <v>0</v>
      </c>
      <c r="J22" s="232">
        <v>1</v>
      </c>
      <c r="K22" s="232" t="s">
        <v>22</v>
      </c>
      <c r="L22" s="232" t="s">
        <v>23</v>
      </c>
      <c r="M22" s="232" t="s">
        <v>1040</v>
      </c>
      <c r="N22" s="232" t="s">
        <v>1032</v>
      </c>
      <c r="O22" s="232" t="s">
        <v>1230</v>
      </c>
      <c r="P22" s="232" t="s">
        <v>65</v>
      </c>
      <c r="Q22" s="232" t="s">
        <v>66</v>
      </c>
      <c r="R22" s="232"/>
      <c r="S22" s="232"/>
      <c r="T22" s="232"/>
      <c r="U22" s="232" t="s">
        <v>1062</v>
      </c>
      <c r="V22" s="232"/>
      <c r="W22" s="232"/>
      <c r="X22" s="232">
        <f t="shared" si="0"/>
        <v>10</v>
      </c>
    </row>
    <row r="23" spans="1:24" ht="93.75" customHeight="1">
      <c r="A23" s="232" t="s">
        <v>67</v>
      </c>
      <c r="B23" s="232" t="s">
        <v>1231</v>
      </c>
      <c r="C23" s="232">
        <v>1</v>
      </c>
      <c r="D23" s="232">
        <v>0</v>
      </c>
      <c r="E23" s="232">
        <v>0</v>
      </c>
      <c r="F23" s="232">
        <v>0</v>
      </c>
      <c r="G23" s="232">
        <v>0</v>
      </c>
      <c r="H23" s="232">
        <v>1</v>
      </c>
      <c r="I23" s="232">
        <v>0</v>
      </c>
      <c r="J23" s="232">
        <v>0</v>
      </c>
      <c r="K23" s="232" t="s">
        <v>22</v>
      </c>
      <c r="L23" s="232" t="s">
        <v>23</v>
      </c>
      <c r="M23" s="232" t="s">
        <v>1032</v>
      </c>
      <c r="N23" s="232" t="s">
        <v>1032</v>
      </c>
      <c r="O23" s="232" t="s">
        <v>1032</v>
      </c>
      <c r="P23" s="234" t="s">
        <v>68</v>
      </c>
      <c r="Q23" s="234" t="s">
        <v>69</v>
      </c>
      <c r="R23" s="234"/>
      <c r="S23" s="232" t="s">
        <v>1032</v>
      </c>
      <c r="T23" s="232" t="s">
        <v>1032</v>
      </c>
      <c r="U23" s="232" t="s">
        <v>1062</v>
      </c>
      <c r="V23" s="232" t="s">
        <v>1032</v>
      </c>
      <c r="W23" s="232" t="s">
        <v>1032</v>
      </c>
      <c r="X23" s="232">
        <f t="shared" si="0"/>
        <v>10</v>
      </c>
    </row>
    <row r="24" spans="1:24" ht="81.75" customHeight="1">
      <c r="A24" s="232" t="s">
        <v>1025</v>
      </c>
      <c r="B24" s="232" t="s">
        <v>1548</v>
      </c>
      <c r="C24" s="232">
        <v>1</v>
      </c>
      <c r="D24" s="232">
        <v>0</v>
      </c>
      <c r="E24" s="232">
        <v>0</v>
      </c>
      <c r="F24" s="232">
        <v>0</v>
      </c>
      <c r="G24" s="232">
        <v>0</v>
      </c>
      <c r="H24" s="232">
        <v>0</v>
      </c>
      <c r="I24" s="232">
        <v>0</v>
      </c>
      <c r="J24" s="232">
        <v>1</v>
      </c>
      <c r="K24" s="232" t="s">
        <v>22</v>
      </c>
      <c r="L24" s="232" t="s">
        <v>23</v>
      </c>
      <c r="M24" s="232"/>
      <c r="N24" s="232"/>
      <c r="O24" s="235" t="s">
        <v>1026</v>
      </c>
      <c r="P24" s="236" t="s">
        <v>1027</v>
      </c>
      <c r="Q24" s="236" t="s">
        <v>1028</v>
      </c>
      <c r="R24" s="9"/>
      <c r="S24" s="237"/>
      <c r="T24" s="232"/>
      <c r="U24" s="232" t="s">
        <v>1062</v>
      </c>
      <c r="V24" s="232"/>
      <c r="W24" s="232"/>
      <c r="X24" s="232">
        <f t="shared" si="0"/>
        <v>10</v>
      </c>
    </row>
    <row r="25" spans="1:24" ht="30">
      <c r="A25" s="232" t="s">
        <v>70</v>
      </c>
      <c r="B25" s="232" t="s">
        <v>1492</v>
      </c>
      <c r="C25" s="232">
        <v>0</v>
      </c>
      <c r="D25" s="232">
        <v>1</v>
      </c>
      <c r="E25" s="232">
        <v>0</v>
      </c>
      <c r="F25" s="232">
        <v>0</v>
      </c>
      <c r="G25" s="232">
        <v>0</v>
      </c>
      <c r="H25" s="232">
        <v>0</v>
      </c>
      <c r="I25" s="232">
        <v>0</v>
      </c>
      <c r="J25" s="232">
        <v>1</v>
      </c>
      <c r="K25" s="232"/>
      <c r="L25" s="232" t="s">
        <v>131</v>
      </c>
      <c r="M25" s="232" t="s">
        <v>1032</v>
      </c>
      <c r="N25" s="232" t="s">
        <v>1032</v>
      </c>
      <c r="O25" s="232" t="s">
        <v>1032</v>
      </c>
      <c r="P25" s="238" t="s">
        <v>1032</v>
      </c>
      <c r="Q25" s="238" t="s">
        <v>1032</v>
      </c>
      <c r="R25" s="238"/>
      <c r="S25" s="232" t="s">
        <v>1032</v>
      </c>
      <c r="T25" s="232" t="s">
        <v>1032</v>
      </c>
      <c r="U25" s="232" t="s">
        <v>40</v>
      </c>
      <c r="V25" s="232" t="s">
        <v>1032</v>
      </c>
      <c r="W25" s="232" t="s">
        <v>46</v>
      </c>
      <c r="X25" s="232">
        <f t="shared" si="0"/>
        <v>20</v>
      </c>
    </row>
    <row r="26" spans="1:24" ht="30">
      <c r="A26" s="232" t="s">
        <v>76</v>
      </c>
      <c r="B26" s="232" t="s">
        <v>1121</v>
      </c>
      <c r="C26" s="232">
        <v>0</v>
      </c>
      <c r="D26" s="232">
        <v>1</v>
      </c>
      <c r="E26" s="232">
        <v>0</v>
      </c>
      <c r="F26" s="232">
        <v>0</v>
      </c>
      <c r="G26" s="232">
        <v>0</v>
      </c>
      <c r="H26" s="232">
        <v>0</v>
      </c>
      <c r="I26" s="232">
        <v>0</v>
      </c>
      <c r="J26" s="232">
        <v>1</v>
      </c>
      <c r="K26" s="232"/>
      <c r="L26" s="232" t="s">
        <v>131</v>
      </c>
      <c r="M26" s="232" t="s">
        <v>1032</v>
      </c>
      <c r="N26" s="232" t="s">
        <v>1032</v>
      </c>
      <c r="O26" s="232" t="s">
        <v>1032</v>
      </c>
      <c r="P26" s="232" t="s">
        <v>1032</v>
      </c>
      <c r="Q26" s="232" t="s">
        <v>1032</v>
      </c>
      <c r="R26" s="232"/>
      <c r="S26" s="232" t="s">
        <v>1032</v>
      </c>
      <c r="T26" s="232" t="s">
        <v>1032</v>
      </c>
      <c r="U26" s="232" t="s">
        <v>40</v>
      </c>
      <c r="V26" s="232" t="s">
        <v>1032</v>
      </c>
      <c r="W26" s="232" t="s">
        <v>46</v>
      </c>
      <c r="X26" s="232">
        <f t="shared" si="0"/>
        <v>20</v>
      </c>
    </row>
    <row r="27" spans="1:24" ht="135">
      <c r="A27" s="232" t="s">
        <v>77</v>
      </c>
      <c r="B27" s="232" t="s">
        <v>71</v>
      </c>
      <c r="C27" s="232">
        <v>0</v>
      </c>
      <c r="D27" s="232">
        <v>1</v>
      </c>
      <c r="E27" s="232">
        <v>0</v>
      </c>
      <c r="F27" s="232">
        <v>0</v>
      </c>
      <c r="G27" s="232">
        <v>0</v>
      </c>
      <c r="H27" s="232">
        <v>0</v>
      </c>
      <c r="I27" s="232">
        <v>0</v>
      </c>
      <c r="J27" s="232">
        <v>1</v>
      </c>
      <c r="K27" s="232"/>
      <c r="L27" s="232" t="s">
        <v>131</v>
      </c>
      <c r="M27" s="232" t="s">
        <v>72</v>
      </c>
      <c r="N27" s="232" t="s">
        <v>1032</v>
      </c>
      <c r="O27" s="232" t="s">
        <v>1032</v>
      </c>
      <c r="P27" s="232" t="s">
        <v>73</v>
      </c>
      <c r="Q27" s="232" t="s">
        <v>1122</v>
      </c>
      <c r="R27" s="232"/>
      <c r="S27" s="232" t="s">
        <v>1493</v>
      </c>
      <c r="T27" s="232" t="s">
        <v>74</v>
      </c>
      <c r="U27" s="232" t="s">
        <v>40</v>
      </c>
      <c r="V27" s="232" t="s">
        <v>1040</v>
      </c>
      <c r="W27" s="232" t="s">
        <v>75</v>
      </c>
      <c r="X27" s="232">
        <f t="shared" si="0"/>
        <v>10</v>
      </c>
    </row>
    <row r="28" spans="1:24" ht="225">
      <c r="A28" s="232" t="s">
        <v>80</v>
      </c>
      <c r="B28" s="232" t="s">
        <v>1123</v>
      </c>
      <c r="C28" s="232">
        <v>0</v>
      </c>
      <c r="D28" s="232">
        <v>1</v>
      </c>
      <c r="E28" s="232">
        <v>0</v>
      </c>
      <c r="F28" s="232">
        <v>0</v>
      </c>
      <c r="G28" s="232">
        <v>0</v>
      </c>
      <c r="H28" s="232">
        <v>0</v>
      </c>
      <c r="I28" s="232">
        <v>0</v>
      </c>
      <c r="J28" s="232">
        <v>1</v>
      </c>
      <c r="K28" s="232"/>
      <c r="L28" s="232" t="s">
        <v>131</v>
      </c>
      <c r="M28" s="232" t="s">
        <v>72</v>
      </c>
      <c r="N28" s="232" t="s">
        <v>1032</v>
      </c>
      <c r="O28" s="232" t="s">
        <v>1032</v>
      </c>
      <c r="P28" s="232" t="s">
        <v>78</v>
      </c>
      <c r="Q28" s="232" t="s">
        <v>79</v>
      </c>
      <c r="R28" s="232"/>
      <c r="S28" s="232" t="s">
        <v>1300</v>
      </c>
      <c r="T28" s="232" t="s">
        <v>1301</v>
      </c>
      <c r="U28" s="232" t="s">
        <v>40</v>
      </c>
      <c r="V28" s="232" t="s">
        <v>1040</v>
      </c>
      <c r="W28" s="232" t="s">
        <v>75</v>
      </c>
      <c r="X28" s="232">
        <f t="shared" si="0"/>
        <v>10</v>
      </c>
    </row>
    <row r="29" spans="1:24" ht="195">
      <c r="A29" s="232" t="s">
        <v>84</v>
      </c>
      <c r="B29" s="232" t="s">
        <v>81</v>
      </c>
      <c r="C29" s="232">
        <v>0</v>
      </c>
      <c r="D29" s="232">
        <v>1</v>
      </c>
      <c r="E29" s="232">
        <v>0</v>
      </c>
      <c r="F29" s="232">
        <v>0</v>
      </c>
      <c r="G29" s="232">
        <v>0</v>
      </c>
      <c r="H29" s="232">
        <v>0</v>
      </c>
      <c r="I29" s="232">
        <v>0</v>
      </c>
      <c r="J29" s="232">
        <v>1</v>
      </c>
      <c r="K29" s="232"/>
      <c r="L29" s="232" t="s">
        <v>131</v>
      </c>
      <c r="M29" s="232" t="s">
        <v>72</v>
      </c>
      <c r="N29" s="232" t="s">
        <v>1032</v>
      </c>
      <c r="O29" s="232" t="s">
        <v>1032</v>
      </c>
      <c r="P29" s="232" t="s">
        <v>82</v>
      </c>
      <c r="Q29" s="232" t="s">
        <v>83</v>
      </c>
      <c r="R29" s="232"/>
      <c r="S29" s="232" t="s">
        <v>1302</v>
      </c>
      <c r="T29" s="232" t="s">
        <v>1303</v>
      </c>
      <c r="U29" s="232" t="s">
        <v>40</v>
      </c>
      <c r="V29" s="232" t="s">
        <v>1040</v>
      </c>
      <c r="W29" s="232" t="s">
        <v>75</v>
      </c>
      <c r="X29" s="232">
        <f t="shared" si="0"/>
        <v>10</v>
      </c>
    </row>
    <row r="30" spans="1:24" ht="195">
      <c r="A30" s="232" t="s">
        <v>88</v>
      </c>
      <c r="B30" s="232" t="s">
        <v>85</v>
      </c>
      <c r="C30" s="232">
        <v>0</v>
      </c>
      <c r="D30" s="232">
        <v>1</v>
      </c>
      <c r="E30" s="232">
        <v>0</v>
      </c>
      <c r="F30" s="232">
        <v>0</v>
      </c>
      <c r="G30" s="232">
        <v>0</v>
      </c>
      <c r="H30" s="232">
        <v>0</v>
      </c>
      <c r="I30" s="232">
        <v>0</v>
      </c>
      <c r="J30" s="232">
        <v>1</v>
      </c>
      <c r="K30" s="232"/>
      <c r="L30" s="232" t="s">
        <v>131</v>
      </c>
      <c r="M30" s="232" t="s">
        <v>72</v>
      </c>
      <c r="N30" s="232" t="s">
        <v>1032</v>
      </c>
      <c r="O30" s="232" t="s">
        <v>1032</v>
      </c>
      <c r="P30" s="232" t="s">
        <v>86</v>
      </c>
      <c r="Q30" s="232" t="s">
        <v>87</v>
      </c>
      <c r="R30" s="232"/>
      <c r="S30" s="232" t="s">
        <v>1304</v>
      </c>
      <c r="T30" s="232" t="s">
        <v>1303</v>
      </c>
      <c r="U30" s="232" t="s">
        <v>40</v>
      </c>
      <c r="V30" s="232" t="s">
        <v>1040</v>
      </c>
      <c r="W30" s="232" t="s">
        <v>75</v>
      </c>
      <c r="X30" s="232">
        <f t="shared" si="0"/>
        <v>10</v>
      </c>
    </row>
    <row r="31" spans="1:24" ht="240">
      <c r="A31" s="232" t="s">
        <v>92</v>
      </c>
      <c r="B31" s="232" t="s">
        <v>89</v>
      </c>
      <c r="C31" s="232">
        <v>0</v>
      </c>
      <c r="D31" s="232">
        <v>1</v>
      </c>
      <c r="E31" s="232">
        <v>0</v>
      </c>
      <c r="F31" s="232">
        <v>0</v>
      </c>
      <c r="G31" s="232">
        <v>0</v>
      </c>
      <c r="H31" s="232">
        <v>0</v>
      </c>
      <c r="I31" s="232">
        <v>0</v>
      </c>
      <c r="J31" s="232">
        <v>1</v>
      </c>
      <c r="K31" s="232"/>
      <c r="L31" s="232" t="s">
        <v>131</v>
      </c>
      <c r="M31" s="232" t="s">
        <v>72</v>
      </c>
      <c r="N31" s="232" t="s">
        <v>1032</v>
      </c>
      <c r="O31" s="232" t="s">
        <v>1032</v>
      </c>
      <c r="P31" s="232" t="s">
        <v>90</v>
      </c>
      <c r="Q31" s="232" t="s">
        <v>91</v>
      </c>
      <c r="R31" s="232"/>
      <c r="S31" s="232" t="s">
        <v>1305</v>
      </c>
      <c r="T31" s="232" t="s">
        <v>1306</v>
      </c>
      <c r="U31" s="232" t="s">
        <v>40</v>
      </c>
      <c r="V31" s="232" t="s">
        <v>1040</v>
      </c>
      <c r="W31" s="232" t="s">
        <v>75</v>
      </c>
      <c r="X31" s="232">
        <f t="shared" si="0"/>
        <v>10</v>
      </c>
    </row>
    <row r="32" spans="1:24" ht="60">
      <c r="A32" s="233" t="s">
        <v>93</v>
      </c>
      <c r="B32" s="232" t="s">
        <v>1465</v>
      </c>
      <c r="C32" s="232">
        <v>0</v>
      </c>
      <c r="D32" s="232">
        <v>0</v>
      </c>
      <c r="E32" s="232">
        <v>0</v>
      </c>
      <c r="F32" s="232">
        <v>0</v>
      </c>
      <c r="G32" s="232">
        <v>1</v>
      </c>
      <c r="H32" s="232">
        <v>0</v>
      </c>
      <c r="I32" s="232">
        <v>0</v>
      </c>
      <c r="J32" s="232">
        <v>0</v>
      </c>
      <c r="K32" s="232" t="s">
        <v>22</v>
      </c>
      <c r="L32" s="232" t="s">
        <v>23</v>
      </c>
      <c r="M32" s="232" t="s">
        <v>1040</v>
      </c>
      <c r="N32" s="232" t="s">
        <v>1307</v>
      </c>
      <c r="O32" s="232" t="s">
        <v>1032</v>
      </c>
      <c r="P32" s="232" t="s">
        <v>1032</v>
      </c>
      <c r="Q32" s="232" t="s">
        <v>1032</v>
      </c>
      <c r="R32" s="232"/>
      <c r="S32" s="232" t="s">
        <v>1032</v>
      </c>
      <c r="T32" s="232" t="s">
        <v>1032</v>
      </c>
      <c r="U32" s="232" t="s">
        <v>1062</v>
      </c>
      <c r="V32" s="232" t="s">
        <v>1032</v>
      </c>
      <c r="W32" s="232" t="s">
        <v>1032</v>
      </c>
      <c r="X32" s="232">
        <f t="shared" si="0"/>
        <v>10</v>
      </c>
    </row>
    <row r="33" spans="1:24" ht="60">
      <c r="A33" s="233" t="s">
        <v>94</v>
      </c>
      <c r="B33" s="232" t="s">
        <v>1466</v>
      </c>
      <c r="C33" s="232">
        <v>0</v>
      </c>
      <c r="D33" s="232">
        <v>0</v>
      </c>
      <c r="E33" s="232">
        <v>0</v>
      </c>
      <c r="F33" s="232">
        <v>0</v>
      </c>
      <c r="G33" s="232">
        <v>1</v>
      </c>
      <c r="H33" s="232">
        <v>0</v>
      </c>
      <c r="I33" s="232">
        <v>0</v>
      </c>
      <c r="J33" s="232">
        <v>0</v>
      </c>
      <c r="K33" s="232" t="s">
        <v>22</v>
      </c>
      <c r="L33" s="232" t="s">
        <v>23</v>
      </c>
      <c r="M33" s="232" t="s">
        <v>1040</v>
      </c>
      <c r="N33" s="232" t="s">
        <v>1307</v>
      </c>
      <c r="O33" s="232" t="s">
        <v>1032</v>
      </c>
      <c r="P33" s="232" t="s">
        <v>1032</v>
      </c>
      <c r="Q33" s="232" t="s">
        <v>1032</v>
      </c>
      <c r="R33" s="232"/>
      <c r="S33" s="232" t="s">
        <v>1032</v>
      </c>
      <c r="T33" s="232" t="s">
        <v>1032</v>
      </c>
      <c r="U33" s="232" t="s">
        <v>1062</v>
      </c>
      <c r="V33" s="232" t="s">
        <v>1032</v>
      </c>
      <c r="W33" s="232" t="s">
        <v>1032</v>
      </c>
      <c r="X33" s="232">
        <f t="shared" si="0"/>
        <v>10</v>
      </c>
    </row>
    <row r="34" spans="1:24" ht="60">
      <c r="A34" s="233" t="s">
        <v>95</v>
      </c>
      <c r="B34" s="232" t="s">
        <v>1467</v>
      </c>
      <c r="C34" s="232">
        <v>0</v>
      </c>
      <c r="D34" s="232">
        <v>0</v>
      </c>
      <c r="E34" s="232">
        <v>0</v>
      </c>
      <c r="F34" s="232">
        <v>0</v>
      </c>
      <c r="G34" s="232">
        <v>1</v>
      </c>
      <c r="H34" s="232">
        <v>0</v>
      </c>
      <c r="I34" s="232">
        <v>0</v>
      </c>
      <c r="J34" s="232">
        <v>0</v>
      </c>
      <c r="K34" s="232" t="s">
        <v>22</v>
      </c>
      <c r="L34" s="232" t="s">
        <v>23</v>
      </c>
      <c r="M34" s="232" t="s">
        <v>1040</v>
      </c>
      <c r="N34" s="232" t="s">
        <v>1307</v>
      </c>
      <c r="O34" s="232" t="s">
        <v>1032</v>
      </c>
      <c r="P34" s="232" t="s">
        <v>1032</v>
      </c>
      <c r="Q34" s="232" t="s">
        <v>1032</v>
      </c>
      <c r="R34" s="232"/>
      <c r="S34" s="232" t="s">
        <v>1032</v>
      </c>
      <c r="T34" s="232" t="s">
        <v>1032</v>
      </c>
      <c r="U34" s="232" t="s">
        <v>1062</v>
      </c>
      <c r="V34" s="232" t="s">
        <v>1032</v>
      </c>
      <c r="W34" s="232" t="s">
        <v>1032</v>
      </c>
      <c r="X34" s="232">
        <f t="shared" si="0"/>
        <v>10</v>
      </c>
    </row>
    <row r="35" spans="1:24" ht="60">
      <c r="A35" s="233" t="s">
        <v>96</v>
      </c>
      <c r="B35" s="232" t="s">
        <v>1468</v>
      </c>
      <c r="C35" s="232">
        <v>0</v>
      </c>
      <c r="D35" s="232">
        <v>0</v>
      </c>
      <c r="E35" s="232">
        <v>0</v>
      </c>
      <c r="F35" s="232">
        <v>0</v>
      </c>
      <c r="G35" s="232">
        <v>1</v>
      </c>
      <c r="H35" s="232">
        <v>0</v>
      </c>
      <c r="I35" s="232">
        <v>0</v>
      </c>
      <c r="J35" s="232">
        <v>0</v>
      </c>
      <c r="K35" s="232" t="s">
        <v>22</v>
      </c>
      <c r="L35" s="232" t="s">
        <v>23</v>
      </c>
      <c r="M35" s="232" t="s">
        <v>1040</v>
      </c>
      <c r="N35" s="232" t="s">
        <v>1307</v>
      </c>
      <c r="O35" s="232" t="s">
        <v>1032</v>
      </c>
      <c r="P35" s="232" t="s">
        <v>1032</v>
      </c>
      <c r="Q35" s="232" t="s">
        <v>1032</v>
      </c>
      <c r="R35" s="232"/>
      <c r="S35" s="232" t="s">
        <v>1032</v>
      </c>
      <c r="T35" s="232" t="s">
        <v>1032</v>
      </c>
      <c r="U35" s="232" t="s">
        <v>1062</v>
      </c>
      <c r="V35" s="232" t="s">
        <v>1032</v>
      </c>
      <c r="W35" s="232" t="s">
        <v>1032</v>
      </c>
      <c r="X35" s="232">
        <f t="shared" si="0"/>
        <v>10</v>
      </c>
    </row>
    <row r="36" spans="1:24" ht="60">
      <c r="A36" s="233" t="s">
        <v>97</v>
      </c>
      <c r="B36" s="232" t="s">
        <v>102</v>
      </c>
      <c r="C36" s="232">
        <v>0</v>
      </c>
      <c r="D36" s="232">
        <v>0</v>
      </c>
      <c r="E36" s="232">
        <v>0</v>
      </c>
      <c r="F36" s="232">
        <v>0</v>
      </c>
      <c r="G36" s="232">
        <v>1</v>
      </c>
      <c r="H36" s="232">
        <v>0</v>
      </c>
      <c r="I36" s="232">
        <v>0</v>
      </c>
      <c r="J36" s="232">
        <v>0</v>
      </c>
      <c r="K36" s="232"/>
      <c r="L36" s="232" t="s">
        <v>23</v>
      </c>
      <c r="M36" s="232" t="s">
        <v>1040</v>
      </c>
      <c r="N36" s="232" t="s">
        <v>1307</v>
      </c>
      <c r="O36" s="232" t="s">
        <v>1087</v>
      </c>
      <c r="P36" s="232" t="s">
        <v>1032</v>
      </c>
      <c r="Q36" s="232" t="s">
        <v>1032</v>
      </c>
      <c r="R36" s="232"/>
      <c r="S36" s="232" t="s">
        <v>1032</v>
      </c>
      <c r="T36" s="232" t="s">
        <v>1032</v>
      </c>
      <c r="U36" s="232" t="s">
        <v>1062</v>
      </c>
      <c r="V36" s="232" t="s">
        <v>1032</v>
      </c>
      <c r="W36" s="232" t="s">
        <v>75</v>
      </c>
      <c r="X36" s="232">
        <f t="shared" si="0"/>
        <v>10</v>
      </c>
    </row>
    <row r="37" spans="1:24" ht="300">
      <c r="A37" s="233" t="s">
        <v>101</v>
      </c>
      <c r="B37" s="232" t="s">
        <v>1494</v>
      </c>
      <c r="C37" s="232">
        <v>0</v>
      </c>
      <c r="D37" s="232">
        <v>0</v>
      </c>
      <c r="E37" s="232">
        <v>0</v>
      </c>
      <c r="F37" s="232">
        <v>0</v>
      </c>
      <c r="G37" s="232">
        <v>1</v>
      </c>
      <c r="H37" s="232">
        <v>0</v>
      </c>
      <c r="I37" s="232">
        <v>0</v>
      </c>
      <c r="J37" s="232">
        <v>1</v>
      </c>
      <c r="K37" s="232"/>
      <c r="L37" s="232" t="s">
        <v>98</v>
      </c>
      <c r="M37" s="232" t="s">
        <v>72</v>
      </c>
      <c r="N37" s="232" t="s">
        <v>1307</v>
      </c>
      <c r="O37" s="232" t="s">
        <v>1495</v>
      </c>
      <c r="P37" s="232" t="s">
        <v>99</v>
      </c>
      <c r="Q37" s="232" t="s">
        <v>100</v>
      </c>
      <c r="R37" s="232"/>
      <c r="S37" s="232" t="s">
        <v>1308</v>
      </c>
      <c r="T37" s="232" t="s">
        <v>1496</v>
      </c>
      <c r="U37" s="232" t="s">
        <v>40</v>
      </c>
      <c r="V37" s="232" t="s">
        <v>1040</v>
      </c>
      <c r="W37" s="232" t="s">
        <v>46</v>
      </c>
      <c r="X37" s="232">
        <f t="shared" si="0"/>
        <v>20</v>
      </c>
    </row>
    <row r="38" spans="1:24" ht="80.25" customHeight="1">
      <c r="A38" s="233" t="s">
        <v>103</v>
      </c>
      <c r="B38" s="232" t="s">
        <v>1232</v>
      </c>
      <c r="C38" s="232">
        <v>0</v>
      </c>
      <c r="D38" s="232">
        <v>0</v>
      </c>
      <c r="E38" s="232">
        <v>0</v>
      </c>
      <c r="F38" s="232">
        <v>0</v>
      </c>
      <c r="G38" s="232">
        <v>1</v>
      </c>
      <c r="H38" s="232">
        <v>0</v>
      </c>
      <c r="I38" s="232">
        <v>0</v>
      </c>
      <c r="J38" s="232">
        <v>0</v>
      </c>
      <c r="K38" s="232"/>
      <c r="L38" s="232" t="s">
        <v>98</v>
      </c>
      <c r="M38" s="232" t="s">
        <v>1032</v>
      </c>
      <c r="N38" s="232" t="s">
        <v>1307</v>
      </c>
      <c r="O38" s="232" t="s">
        <v>1032</v>
      </c>
      <c r="P38" s="232" t="s">
        <v>1032</v>
      </c>
      <c r="Q38" s="232" t="s">
        <v>1032</v>
      </c>
      <c r="R38" s="232"/>
      <c r="S38" s="232" t="s">
        <v>1584</v>
      </c>
      <c r="T38" s="232" t="s">
        <v>1032</v>
      </c>
      <c r="U38" s="232" t="s">
        <v>40</v>
      </c>
      <c r="V38" s="232" t="s">
        <v>1032</v>
      </c>
      <c r="W38" s="232" t="s">
        <v>46</v>
      </c>
      <c r="X38" s="232">
        <f t="shared" si="0"/>
        <v>20</v>
      </c>
    </row>
    <row r="39" spans="1:24" ht="225">
      <c r="A39" s="233" t="s">
        <v>106</v>
      </c>
      <c r="B39" s="232" t="s">
        <v>1233</v>
      </c>
      <c r="C39" s="232">
        <v>0</v>
      </c>
      <c r="D39" s="232">
        <v>0</v>
      </c>
      <c r="E39" s="232">
        <v>0</v>
      </c>
      <c r="F39" s="232">
        <v>0</v>
      </c>
      <c r="G39" s="232">
        <v>1</v>
      </c>
      <c r="H39" s="232">
        <v>0</v>
      </c>
      <c r="I39" s="232">
        <v>0</v>
      </c>
      <c r="J39" s="232">
        <v>0</v>
      </c>
      <c r="K39" s="232"/>
      <c r="L39" s="232" t="s">
        <v>98</v>
      </c>
      <c r="M39" s="232" t="s">
        <v>1032</v>
      </c>
      <c r="N39" s="232" t="s">
        <v>1307</v>
      </c>
      <c r="O39" s="232" t="s">
        <v>1234</v>
      </c>
      <c r="P39" s="232" t="s">
        <v>1032</v>
      </c>
      <c r="Q39" s="232" t="s">
        <v>1032</v>
      </c>
      <c r="R39" s="232"/>
      <c r="S39" s="232" t="s">
        <v>1584</v>
      </c>
      <c r="T39" s="232" t="s">
        <v>1032</v>
      </c>
      <c r="U39" s="232" t="s">
        <v>40</v>
      </c>
      <c r="V39" s="232" t="s">
        <v>1032</v>
      </c>
      <c r="W39" s="232" t="s">
        <v>46</v>
      </c>
      <c r="X39" s="232">
        <f t="shared" si="0"/>
        <v>20</v>
      </c>
    </row>
    <row r="40" spans="1:24" ht="120">
      <c r="A40" s="233" t="s">
        <v>108</v>
      </c>
      <c r="B40" s="232" t="s">
        <v>1041</v>
      </c>
      <c r="C40" s="232">
        <v>0</v>
      </c>
      <c r="D40" s="232">
        <v>0</v>
      </c>
      <c r="E40" s="232">
        <v>0</v>
      </c>
      <c r="F40" s="232">
        <v>0</v>
      </c>
      <c r="G40" s="232">
        <v>1</v>
      </c>
      <c r="H40" s="232">
        <v>0</v>
      </c>
      <c r="I40" s="232">
        <v>0</v>
      </c>
      <c r="J40" s="232">
        <v>0</v>
      </c>
      <c r="K40" s="232"/>
      <c r="L40" s="232" t="s">
        <v>98</v>
      </c>
      <c r="M40" s="232" t="s">
        <v>1040</v>
      </c>
      <c r="N40" s="232" t="s">
        <v>1307</v>
      </c>
      <c r="O40" s="232" t="s">
        <v>1124</v>
      </c>
      <c r="P40" s="232" t="s">
        <v>121</v>
      </c>
      <c r="Q40" s="232" t="s">
        <v>122</v>
      </c>
      <c r="R40" s="232"/>
      <c r="S40" s="232" t="s">
        <v>1032</v>
      </c>
      <c r="T40" s="232" t="s">
        <v>1125</v>
      </c>
      <c r="U40" s="232" t="s">
        <v>40</v>
      </c>
      <c r="V40" s="232" t="s">
        <v>1040</v>
      </c>
      <c r="W40" s="232" t="s">
        <v>46</v>
      </c>
      <c r="X40" s="232">
        <f t="shared" si="0"/>
        <v>20</v>
      </c>
    </row>
    <row r="41" spans="1:24" ht="225">
      <c r="A41" s="233" t="s">
        <v>111</v>
      </c>
      <c r="B41" s="232" t="s">
        <v>1235</v>
      </c>
      <c r="C41" s="232">
        <v>0</v>
      </c>
      <c r="D41" s="232">
        <v>0</v>
      </c>
      <c r="E41" s="232">
        <v>0</v>
      </c>
      <c r="F41" s="232">
        <v>0</v>
      </c>
      <c r="G41" s="232">
        <v>1</v>
      </c>
      <c r="H41" s="232">
        <v>0</v>
      </c>
      <c r="I41" s="232">
        <v>0</v>
      </c>
      <c r="J41" s="232">
        <v>1</v>
      </c>
      <c r="K41" s="232"/>
      <c r="L41" s="232" t="s">
        <v>98</v>
      </c>
      <c r="M41" s="232" t="s">
        <v>72</v>
      </c>
      <c r="N41" s="232" t="s">
        <v>1307</v>
      </c>
      <c r="O41" s="232" t="s">
        <v>1126</v>
      </c>
      <c r="P41" s="232" t="s">
        <v>104</v>
      </c>
      <c r="Q41" s="232" t="s">
        <v>105</v>
      </c>
      <c r="R41" s="232"/>
      <c r="S41" s="232" t="s">
        <v>1236</v>
      </c>
      <c r="T41" s="232" t="s">
        <v>1497</v>
      </c>
      <c r="U41" s="232" t="s">
        <v>40</v>
      </c>
      <c r="V41" s="232" t="s">
        <v>1040</v>
      </c>
      <c r="W41" s="232" t="s">
        <v>75</v>
      </c>
      <c r="X41" s="232">
        <f t="shared" si="0"/>
        <v>10</v>
      </c>
    </row>
    <row r="42" spans="1:24" ht="180">
      <c r="A42" s="233" t="s">
        <v>112</v>
      </c>
      <c r="B42" s="232" t="s">
        <v>1237</v>
      </c>
      <c r="C42" s="232">
        <v>0</v>
      </c>
      <c r="D42" s="232">
        <v>0</v>
      </c>
      <c r="E42" s="232">
        <v>0</v>
      </c>
      <c r="F42" s="232">
        <v>0</v>
      </c>
      <c r="G42" s="232">
        <v>1</v>
      </c>
      <c r="H42" s="232">
        <v>0</v>
      </c>
      <c r="I42" s="232">
        <v>0</v>
      </c>
      <c r="J42" s="232">
        <v>0</v>
      </c>
      <c r="K42" s="232"/>
      <c r="L42" s="232" t="s">
        <v>98</v>
      </c>
      <c r="M42" s="232" t="s">
        <v>1040</v>
      </c>
      <c r="N42" s="232" t="s">
        <v>1307</v>
      </c>
      <c r="O42" s="232" t="s">
        <v>1590</v>
      </c>
      <c r="P42" s="232" t="s">
        <v>1589</v>
      </c>
      <c r="Q42" s="232" t="s">
        <v>107</v>
      </c>
      <c r="R42" s="232"/>
      <c r="S42" s="232" t="s">
        <v>1238</v>
      </c>
      <c r="T42" s="232" t="s">
        <v>1032</v>
      </c>
      <c r="U42" s="232" t="s">
        <v>40</v>
      </c>
      <c r="V42" s="232" t="s">
        <v>1040</v>
      </c>
      <c r="W42" s="232" t="s">
        <v>75</v>
      </c>
      <c r="X42" s="232">
        <f t="shared" si="0"/>
        <v>10</v>
      </c>
    </row>
    <row r="43" spans="1:24" ht="328">
      <c r="A43" s="233" t="s">
        <v>113</v>
      </c>
      <c r="B43" s="232" t="s">
        <v>109</v>
      </c>
      <c r="C43" s="232">
        <v>0</v>
      </c>
      <c r="D43" s="232">
        <v>0</v>
      </c>
      <c r="E43" s="232">
        <v>0</v>
      </c>
      <c r="F43" s="232">
        <v>0</v>
      </c>
      <c r="G43" s="232">
        <v>1</v>
      </c>
      <c r="H43" s="232">
        <v>0</v>
      </c>
      <c r="I43" s="232">
        <v>0</v>
      </c>
      <c r="J43" s="232">
        <v>0</v>
      </c>
      <c r="K43" s="232"/>
      <c r="L43" s="232" t="s">
        <v>98</v>
      </c>
      <c r="M43" s="232" t="s">
        <v>1040</v>
      </c>
      <c r="N43" s="232" t="s">
        <v>1307</v>
      </c>
      <c r="O43" s="232" t="s">
        <v>1032</v>
      </c>
      <c r="P43" s="232" t="s">
        <v>1239</v>
      </c>
      <c r="Q43" s="232" t="s">
        <v>110</v>
      </c>
      <c r="R43" s="232"/>
      <c r="S43" s="232" t="s">
        <v>1498</v>
      </c>
      <c r="T43" s="232" t="s">
        <v>1032</v>
      </c>
      <c r="U43" s="232" t="s">
        <v>40</v>
      </c>
      <c r="V43" s="232" t="s">
        <v>1040</v>
      </c>
      <c r="W43" s="232" t="s">
        <v>75</v>
      </c>
      <c r="X43" s="232">
        <f t="shared" si="0"/>
        <v>10</v>
      </c>
    </row>
    <row r="44" spans="1:24" ht="180">
      <c r="A44" s="233" t="s">
        <v>114</v>
      </c>
      <c r="B44" s="232" t="s">
        <v>1240</v>
      </c>
      <c r="C44" s="232">
        <v>0</v>
      </c>
      <c r="D44" s="232">
        <v>0</v>
      </c>
      <c r="E44" s="232">
        <v>0</v>
      </c>
      <c r="F44" s="232">
        <v>0</v>
      </c>
      <c r="G44" s="232">
        <v>1</v>
      </c>
      <c r="H44" s="232">
        <v>0</v>
      </c>
      <c r="I44" s="232">
        <v>0</v>
      </c>
      <c r="J44" s="232">
        <v>0</v>
      </c>
      <c r="K44" s="232"/>
      <c r="L44" s="232" t="s">
        <v>98</v>
      </c>
      <c r="M44" s="232" t="s">
        <v>1040</v>
      </c>
      <c r="N44" s="232" t="s">
        <v>1307</v>
      </c>
      <c r="O44" s="232" t="s">
        <v>1241</v>
      </c>
      <c r="P44" s="232" t="s">
        <v>1242</v>
      </c>
      <c r="Q44" s="232" t="s">
        <v>1588</v>
      </c>
      <c r="R44" s="232"/>
      <c r="S44" s="232" t="s">
        <v>1309</v>
      </c>
      <c r="T44" s="232" t="s">
        <v>1032</v>
      </c>
      <c r="U44" s="232" t="s">
        <v>40</v>
      </c>
      <c r="V44" s="232" t="s">
        <v>1040</v>
      </c>
      <c r="W44" s="232" t="s">
        <v>75</v>
      </c>
      <c r="X44" s="232">
        <f t="shared" si="0"/>
        <v>10</v>
      </c>
    </row>
    <row r="45" spans="1:24" ht="210">
      <c r="A45" s="233" t="s">
        <v>116</v>
      </c>
      <c r="B45" s="232" t="s">
        <v>115</v>
      </c>
      <c r="C45" s="232">
        <v>0</v>
      </c>
      <c r="D45" s="232">
        <v>0</v>
      </c>
      <c r="E45" s="232">
        <v>0</v>
      </c>
      <c r="F45" s="232">
        <v>0</v>
      </c>
      <c r="G45" s="232">
        <v>1</v>
      </c>
      <c r="H45" s="232">
        <v>0</v>
      </c>
      <c r="I45" s="232">
        <v>0</v>
      </c>
      <c r="J45" s="232">
        <v>0</v>
      </c>
      <c r="K45" s="232"/>
      <c r="L45" s="232" t="s">
        <v>98</v>
      </c>
      <c r="M45" s="232" t="s">
        <v>1040</v>
      </c>
      <c r="N45" s="232" t="s">
        <v>1307</v>
      </c>
      <c r="O45" s="232" t="s">
        <v>1499</v>
      </c>
      <c r="P45" s="232" t="s">
        <v>1243</v>
      </c>
      <c r="Q45" s="232" t="s">
        <v>1127</v>
      </c>
      <c r="R45" s="232"/>
      <c r="S45" s="232" t="s">
        <v>1310</v>
      </c>
      <c r="T45" s="232" t="s">
        <v>1311</v>
      </c>
      <c r="U45" s="232" t="s">
        <v>40</v>
      </c>
      <c r="V45" s="232" t="s">
        <v>1040</v>
      </c>
      <c r="W45" s="232" t="s">
        <v>75</v>
      </c>
      <c r="X45" s="232">
        <f t="shared" si="0"/>
        <v>10</v>
      </c>
    </row>
    <row r="46" spans="1:24" ht="270">
      <c r="A46" s="233" t="s">
        <v>120</v>
      </c>
      <c r="B46" s="232" t="s">
        <v>117</v>
      </c>
      <c r="C46" s="232">
        <v>0</v>
      </c>
      <c r="D46" s="232">
        <v>0</v>
      </c>
      <c r="E46" s="232">
        <v>0</v>
      </c>
      <c r="F46" s="232">
        <v>0</v>
      </c>
      <c r="G46" s="232">
        <v>1</v>
      </c>
      <c r="H46" s="232">
        <v>0</v>
      </c>
      <c r="I46" s="232">
        <v>0</v>
      </c>
      <c r="J46" s="232">
        <v>0</v>
      </c>
      <c r="K46" s="232"/>
      <c r="L46" s="232" t="s">
        <v>98</v>
      </c>
      <c r="M46" s="232" t="s">
        <v>1040</v>
      </c>
      <c r="N46" s="232" t="s">
        <v>1307</v>
      </c>
      <c r="O46" s="232" t="s">
        <v>1500</v>
      </c>
      <c r="P46" s="232" t="s">
        <v>118</v>
      </c>
      <c r="Q46" s="232" t="s">
        <v>119</v>
      </c>
      <c r="R46" s="232"/>
      <c r="S46" s="232" t="s">
        <v>1312</v>
      </c>
      <c r="T46" s="232" t="s">
        <v>1032</v>
      </c>
      <c r="U46" s="232" t="s">
        <v>40</v>
      </c>
      <c r="V46" s="232" t="s">
        <v>1040</v>
      </c>
      <c r="W46" s="232" t="s">
        <v>75</v>
      </c>
      <c r="X46" s="232">
        <f t="shared" si="0"/>
        <v>10</v>
      </c>
    </row>
    <row r="47" spans="1:24" ht="328">
      <c r="A47" s="233" t="s">
        <v>123</v>
      </c>
      <c r="B47" s="232" t="s">
        <v>124</v>
      </c>
      <c r="C47" s="232">
        <v>0</v>
      </c>
      <c r="D47" s="232">
        <v>0</v>
      </c>
      <c r="E47" s="232">
        <v>0</v>
      </c>
      <c r="F47" s="232">
        <v>0</v>
      </c>
      <c r="G47" s="232">
        <v>1</v>
      </c>
      <c r="H47" s="232">
        <v>0</v>
      </c>
      <c r="I47" s="232">
        <v>0</v>
      </c>
      <c r="J47" s="232">
        <v>0</v>
      </c>
      <c r="K47" s="232"/>
      <c r="L47" s="232" t="s">
        <v>98</v>
      </c>
      <c r="M47" s="232" t="s">
        <v>1040</v>
      </c>
      <c r="N47" s="232" t="s">
        <v>1307</v>
      </c>
      <c r="O47" s="232" t="s">
        <v>1586</v>
      </c>
      <c r="P47" s="232" t="s">
        <v>125</v>
      </c>
      <c r="Q47" s="232" t="s">
        <v>1587</v>
      </c>
      <c r="R47" s="232"/>
      <c r="S47" s="232" t="s">
        <v>1313</v>
      </c>
      <c r="U47" s="232" t="s">
        <v>40</v>
      </c>
      <c r="V47" s="232" t="s">
        <v>1040</v>
      </c>
      <c r="W47" s="232" t="s">
        <v>75</v>
      </c>
      <c r="X47" s="232">
        <f t="shared" si="0"/>
        <v>10</v>
      </c>
    </row>
    <row r="48" spans="1:24" ht="165">
      <c r="A48" s="233" t="s">
        <v>126</v>
      </c>
      <c r="B48" s="232" t="s">
        <v>127</v>
      </c>
      <c r="C48" s="232">
        <v>0</v>
      </c>
      <c r="D48" s="232">
        <v>0</v>
      </c>
      <c r="E48" s="232">
        <v>0</v>
      </c>
      <c r="F48" s="232">
        <v>0</v>
      </c>
      <c r="G48" s="232">
        <v>1</v>
      </c>
      <c r="H48" s="232">
        <v>0</v>
      </c>
      <c r="I48" s="232">
        <v>0</v>
      </c>
      <c r="J48" s="232">
        <v>0</v>
      </c>
      <c r="K48" s="232"/>
      <c r="L48" s="232" t="s">
        <v>98</v>
      </c>
      <c r="M48" s="232" t="s">
        <v>1040</v>
      </c>
      <c r="N48" s="232" t="s">
        <v>1307</v>
      </c>
      <c r="O48" s="232" t="s">
        <v>1032</v>
      </c>
      <c r="P48" s="232" t="s">
        <v>1244</v>
      </c>
      <c r="Q48" s="232" t="s">
        <v>128</v>
      </c>
      <c r="R48" s="232"/>
      <c r="S48" s="232" t="s">
        <v>1128</v>
      </c>
      <c r="T48" s="232" t="s">
        <v>1573</v>
      </c>
      <c r="U48" s="232" t="s">
        <v>40</v>
      </c>
      <c r="V48" s="232" t="s">
        <v>1040</v>
      </c>
      <c r="W48" s="232" t="s">
        <v>75</v>
      </c>
      <c r="X48" s="232">
        <f t="shared" si="0"/>
        <v>10</v>
      </c>
    </row>
    <row r="49" spans="1:24" ht="240">
      <c r="A49" s="233" t="s">
        <v>129</v>
      </c>
      <c r="B49" s="232" t="s">
        <v>1585</v>
      </c>
      <c r="C49" s="232">
        <v>0</v>
      </c>
      <c r="D49" s="232">
        <v>0</v>
      </c>
      <c r="E49" s="232">
        <v>0</v>
      </c>
      <c r="F49" s="232">
        <v>0</v>
      </c>
      <c r="G49" s="232">
        <v>1</v>
      </c>
      <c r="H49" s="232">
        <v>0</v>
      </c>
      <c r="I49" s="232">
        <v>0</v>
      </c>
      <c r="J49" s="232">
        <v>0</v>
      </c>
      <c r="K49" s="232"/>
      <c r="L49" s="232" t="s">
        <v>98</v>
      </c>
      <c r="M49" s="232" t="s">
        <v>1040</v>
      </c>
      <c r="N49" s="232" t="s">
        <v>1307</v>
      </c>
      <c r="O49" s="232" t="s">
        <v>1129</v>
      </c>
      <c r="P49" s="232" t="s">
        <v>1032</v>
      </c>
      <c r="Q49" s="232" t="s">
        <v>1130</v>
      </c>
      <c r="R49" s="232"/>
      <c r="S49" s="232" t="s">
        <v>1501</v>
      </c>
      <c r="T49" s="232" t="s">
        <v>1032</v>
      </c>
      <c r="U49" s="232" t="s">
        <v>149</v>
      </c>
      <c r="V49" s="232" t="s">
        <v>1040</v>
      </c>
      <c r="W49" s="232" t="s">
        <v>75</v>
      </c>
      <c r="X49" s="232">
        <f t="shared" si="0"/>
        <v>10</v>
      </c>
    </row>
    <row r="50" spans="1:24" ht="210">
      <c r="A50" s="232" t="s">
        <v>130</v>
      </c>
      <c r="B50" s="232" t="s">
        <v>1131</v>
      </c>
      <c r="C50" s="232">
        <v>0</v>
      </c>
      <c r="D50" s="232">
        <v>1</v>
      </c>
      <c r="E50" s="232">
        <v>0</v>
      </c>
      <c r="F50" s="232">
        <v>0</v>
      </c>
      <c r="G50" s="232">
        <v>0</v>
      </c>
      <c r="H50" s="232">
        <v>0</v>
      </c>
      <c r="I50" s="232">
        <v>0</v>
      </c>
      <c r="J50" s="232">
        <v>1</v>
      </c>
      <c r="K50" s="232"/>
      <c r="L50" s="232" t="s">
        <v>131</v>
      </c>
      <c r="M50" s="232" t="s">
        <v>1040</v>
      </c>
      <c r="N50" s="232" t="s">
        <v>1032</v>
      </c>
      <c r="O50" s="232"/>
      <c r="P50" s="232" t="s">
        <v>132</v>
      </c>
      <c r="Q50" s="232" t="s">
        <v>133</v>
      </c>
      <c r="R50" s="232"/>
      <c r="S50" s="232" t="s">
        <v>1314</v>
      </c>
      <c r="T50" s="232" t="s">
        <v>1315</v>
      </c>
      <c r="U50" s="232" t="s">
        <v>40</v>
      </c>
      <c r="V50" s="232" t="s">
        <v>1040</v>
      </c>
      <c r="W50" s="232" t="s">
        <v>46</v>
      </c>
      <c r="X50" s="232">
        <f t="shared" si="0"/>
        <v>20</v>
      </c>
    </row>
    <row r="51" spans="1:24" ht="120">
      <c r="A51" s="232" t="s">
        <v>134</v>
      </c>
      <c r="B51" s="232" t="s">
        <v>1502</v>
      </c>
      <c r="C51" s="232">
        <v>0</v>
      </c>
      <c r="D51" s="232">
        <v>1</v>
      </c>
      <c r="E51" s="232">
        <v>0</v>
      </c>
      <c r="F51" s="232">
        <v>0</v>
      </c>
      <c r="G51" s="232">
        <v>0</v>
      </c>
      <c r="H51" s="232">
        <v>0</v>
      </c>
      <c r="I51" s="232">
        <v>0</v>
      </c>
      <c r="J51" s="232">
        <v>1</v>
      </c>
      <c r="K51" s="232"/>
      <c r="L51" s="232" t="s">
        <v>131</v>
      </c>
      <c r="M51" s="232" t="s">
        <v>1040</v>
      </c>
      <c r="N51" s="232" t="s">
        <v>1032</v>
      </c>
      <c r="O51" s="232" t="s">
        <v>1478</v>
      </c>
      <c r="P51" s="232"/>
      <c r="Q51" s="232" t="s">
        <v>1478</v>
      </c>
      <c r="R51" s="232"/>
      <c r="S51" s="232" t="s">
        <v>135</v>
      </c>
      <c r="T51" s="232" t="s">
        <v>136</v>
      </c>
      <c r="U51" s="232" t="s">
        <v>40</v>
      </c>
      <c r="V51" s="232" t="s">
        <v>1040</v>
      </c>
      <c r="W51" s="232" t="s">
        <v>46</v>
      </c>
      <c r="X51" s="232">
        <f t="shared" si="0"/>
        <v>20</v>
      </c>
    </row>
    <row r="52" spans="1:24" ht="90">
      <c r="A52" s="232" t="s">
        <v>137</v>
      </c>
      <c r="B52" s="232" t="s">
        <v>1503</v>
      </c>
      <c r="C52" s="232">
        <v>0</v>
      </c>
      <c r="D52" s="232">
        <v>1</v>
      </c>
      <c r="E52" s="232">
        <v>0</v>
      </c>
      <c r="F52" s="232">
        <v>0</v>
      </c>
      <c r="G52" s="232">
        <v>0</v>
      </c>
      <c r="H52" s="232">
        <v>0</v>
      </c>
      <c r="I52" s="232">
        <v>0</v>
      </c>
      <c r="J52" s="232">
        <v>1</v>
      </c>
      <c r="K52" s="232"/>
      <c r="L52" s="232" t="s">
        <v>131</v>
      </c>
      <c r="M52" s="232" t="s">
        <v>1040</v>
      </c>
      <c r="N52" s="232" t="s">
        <v>1032</v>
      </c>
      <c r="O52" s="232" t="s">
        <v>1032</v>
      </c>
      <c r="P52" s="232" t="s">
        <v>1032</v>
      </c>
      <c r="Q52" s="232" t="s">
        <v>1032</v>
      </c>
      <c r="R52" s="232"/>
      <c r="S52" s="232" t="s">
        <v>1132</v>
      </c>
      <c r="T52" s="232" t="s">
        <v>1133</v>
      </c>
      <c r="U52" s="232" t="s">
        <v>40</v>
      </c>
      <c r="V52" s="232" t="s">
        <v>1040</v>
      </c>
      <c r="W52" s="232" t="s">
        <v>46</v>
      </c>
      <c r="X52" s="232">
        <f t="shared" si="0"/>
        <v>20</v>
      </c>
    </row>
    <row r="53" spans="1:24" ht="384">
      <c r="A53" s="232" t="s">
        <v>138</v>
      </c>
      <c r="B53" s="232" t="s">
        <v>1042</v>
      </c>
      <c r="C53" s="232">
        <v>0</v>
      </c>
      <c r="D53" s="232">
        <v>1</v>
      </c>
      <c r="E53" s="232">
        <v>0</v>
      </c>
      <c r="F53" s="232">
        <v>0</v>
      </c>
      <c r="G53" s="232">
        <v>0</v>
      </c>
      <c r="H53" s="232">
        <v>0</v>
      </c>
      <c r="I53" s="232">
        <v>0</v>
      </c>
      <c r="J53" s="232">
        <v>1</v>
      </c>
      <c r="K53" s="232"/>
      <c r="L53" s="232" t="s">
        <v>131</v>
      </c>
      <c r="M53" s="232" t="s">
        <v>1040</v>
      </c>
      <c r="N53" s="232" t="s">
        <v>1032</v>
      </c>
      <c r="O53" s="232" t="s">
        <v>1316</v>
      </c>
      <c r="P53" s="232" t="s">
        <v>139</v>
      </c>
      <c r="Q53" s="232" t="s">
        <v>140</v>
      </c>
      <c r="R53" s="232"/>
      <c r="S53" s="232" t="s">
        <v>1317</v>
      </c>
      <c r="T53" s="232" t="s">
        <v>1318</v>
      </c>
      <c r="U53" s="232" t="s">
        <v>40</v>
      </c>
      <c r="V53" s="232" t="s">
        <v>1040</v>
      </c>
      <c r="W53" s="232" t="s">
        <v>46</v>
      </c>
      <c r="X53" s="232">
        <f t="shared" si="0"/>
        <v>20</v>
      </c>
    </row>
    <row r="54" spans="1:24" ht="210">
      <c r="A54" s="232" t="s">
        <v>141</v>
      </c>
      <c r="B54" s="232" t="s">
        <v>1134</v>
      </c>
      <c r="C54" s="232">
        <v>0</v>
      </c>
      <c r="D54" s="232">
        <v>1</v>
      </c>
      <c r="E54" s="232">
        <v>0</v>
      </c>
      <c r="F54" s="232">
        <v>0</v>
      </c>
      <c r="G54" s="232">
        <v>0</v>
      </c>
      <c r="H54" s="232">
        <v>0</v>
      </c>
      <c r="I54" s="232">
        <v>0</v>
      </c>
      <c r="J54" s="232">
        <v>0</v>
      </c>
      <c r="K54" s="232"/>
      <c r="L54" s="232" t="s">
        <v>131</v>
      </c>
      <c r="M54" s="232" t="s">
        <v>1040</v>
      </c>
      <c r="N54" s="232" t="s">
        <v>1032</v>
      </c>
      <c r="O54" s="232" t="s">
        <v>142</v>
      </c>
      <c r="P54" s="232" t="s">
        <v>143</v>
      </c>
      <c r="Q54" s="232" t="s">
        <v>144</v>
      </c>
      <c r="R54" s="232"/>
      <c r="S54" s="232" t="s">
        <v>1319</v>
      </c>
      <c r="T54" s="232" t="s">
        <v>145</v>
      </c>
      <c r="U54" s="232" t="s">
        <v>40</v>
      </c>
      <c r="V54" s="232" t="s">
        <v>1040</v>
      </c>
      <c r="W54" s="232" t="s">
        <v>75</v>
      </c>
      <c r="X54" s="232">
        <f t="shared" si="0"/>
        <v>10</v>
      </c>
    </row>
    <row r="55" spans="1:24" ht="165">
      <c r="A55" s="232" t="s">
        <v>146</v>
      </c>
      <c r="B55" s="232" t="s">
        <v>1043</v>
      </c>
      <c r="C55" s="232">
        <v>0</v>
      </c>
      <c r="D55" s="232">
        <v>0</v>
      </c>
      <c r="E55" s="232">
        <v>0</v>
      </c>
      <c r="F55" s="232">
        <v>0</v>
      </c>
      <c r="G55" s="232">
        <v>0</v>
      </c>
      <c r="H55" s="232">
        <v>1</v>
      </c>
      <c r="I55" s="232">
        <v>0</v>
      </c>
      <c r="J55" s="232">
        <v>1</v>
      </c>
      <c r="K55" s="232"/>
      <c r="L55" s="232" t="s">
        <v>148</v>
      </c>
      <c r="M55" s="232" t="s">
        <v>1040</v>
      </c>
      <c r="N55" s="232" t="s">
        <v>1320</v>
      </c>
      <c r="O55" s="232" t="s">
        <v>1032</v>
      </c>
      <c r="P55" s="232" t="s">
        <v>1032</v>
      </c>
      <c r="Q55" s="232" t="s">
        <v>1032</v>
      </c>
      <c r="R55" s="232"/>
      <c r="S55" s="232" t="s">
        <v>1135</v>
      </c>
      <c r="T55" s="232" t="s">
        <v>34</v>
      </c>
      <c r="U55" s="232" t="s">
        <v>149</v>
      </c>
      <c r="V55" s="232" t="s">
        <v>1040</v>
      </c>
      <c r="W55" s="232" t="s">
        <v>46</v>
      </c>
      <c r="X55" s="232">
        <f t="shared" si="0"/>
        <v>20</v>
      </c>
    </row>
    <row r="56" spans="1:24" ht="165">
      <c r="A56" s="232" t="s">
        <v>150</v>
      </c>
      <c r="B56" s="232" t="s">
        <v>1044</v>
      </c>
      <c r="C56" s="232">
        <v>0</v>
      </c>
      <c r="D56" s="232">
        <v>0</v>
      </c>
      <c r="E56" s="232">
        <v>0</v>
      </c>
      <c r="F56" s="232">
        <v>0</v>
      </c>
      <c r="G56" s="232">
        <v>0</v>
      </c>
      <c r="H56" s="232">
        <v>1</v>
      </c>
      <c r="I56" s="232">
        <v>0</v>
      </c>
      <c r="J56" s="232">
        <v>1</v>
      </c>
      <c r="K56" s="232"/>
      <c r="L56" s="232" t="s">
        <v>148</v>
      </c>
      <c r="M56" s="232" t="s">
        <v>1040</v>
      </c>
      <c r="N56" s="232" t="s">
        <v>1320</v>
      </c>
      <c r="O56" s="232" t="s">
        <v>1032</v>
      </c>
      <c r="P56" s="232" t="s">
        <v>1032</v>
      </c>
      <c r="Q56" s="232" t="s">
        <v>1032</v>
      </c>
      <c r="R56" s="232"/>
      <c r="S56" s="232" t="s">
        <v>1135</v>
      </c>
      <c r="T56" s="232" t="s">
        <v>34</v>
      </c>
      <c r="U56" s="232" t="s">
        <v>40</v>
      </c>
      <c r="V56" s="232" t="s">
        <v>1040</v>
      </c>
      <c r="W56" s="232" t="s">
        <v>46</v>
      </c>
      <c r="X56" s="232">
        <f t="shared" si="0"/>
        <v>20</v>
      </c>
    </row>
    <row r="57" spans="1:24" ht="165">
      <c r="A57" s="232" t="s">
        <v>151</v>
      </c>
      <c r="B57" s="232" t="s">
        <v>1504</v>
      </c>
      <c r="C57" s="232">
        <v>0</v>
      </c>
      <c r="D57" s="232">
        <v>0</v>
      </c>
      <c r="E57" s="232">
        <v>0</v>
      </c>
      <c r="F57" s="232">
        <v>0</v>
      </c>
      <c r="G57" s="232">
        <v>0</v>
      </c>
      <c r="H57" s="232">
        <v>1</v>
      </c>
      <c r="I57" s="232">
        <v>0</v>
      </c>
      <c r="J57" s="232">
        <v>1</v>
      </c>
      <c r="K57" s="232"/>
      <c r="L57" s="232" t="s">
        <v>148</v>
      </c>
      <c r="M57" s="232" t="s">
        <v>1040</v>
      </c>
      <c r="N57" s="232" t="s">
        <v>1320</v>
      </c>
      <c r="O57" s="232" t="s">
        <v>1032</v>
      </c>
      <c r="P57" s="232" t="s">
        <v>1032</v>
      </c>
      <c r="Q57" s="232" t="s">
        <v>1032</v>
      </c>
      <c r="R57" s="232"/>
      <c r="S57" s="232" t="s">
        <v>1135</v>
      </c>
      <c r="T57" s="232" t="s">
        <v>34</v>
      </c>
      <c r="U57" s="232" t="s">
        <v>40</v>
      </c>
      <c r="V57" s="232" t="s">
        <v>1040</v>
      </c>
      <c r="W57" s="232" t="s">
        <v>46</v>
      </c>
      <c r="X57" s="232">
        <f t="shared" si="0"/>
        <v>20</v>
      </c>
    </row>
    <row r="58" spans="1:24" ht="165">
      <c r="A58" s="232" t="s">
        <v>153</v>
      </c>
      <c r="B58" s="232" t="s">
        <v>1544</v>
      </c>
      <c r="C58" s="232">
        <v>0</v>
      </c>
      <c r="D58" s="232">
        <v>0</v>
      </c>
      <c r="E58" s="232">
        <v>0</v>
      </c>
      <c r="F58" s="232">
        <v>0</v>
      </c>
      <c r="G58" s="232">
        <v>0</v>
      </c>
      <c r="H58" s="232">
        <v>1</v>
      </c>
      <c r="I58" s="232">
        <v>0</v>
      </c>
      <c r="J58" s="232">
        <v>1</v>
      </c>
      <c r="K58" s="232"/>
      <c r="L58" s="232" t="s">
        <v>148</v>
      </c>
      <c r="M58" s="232" t="s">
        <v>1040</v>
      </c>
      <c r="N58" s="232" t="s">
        <v>1320</v>
      </c>
      <c r="O58" s="232" t="s">
        <v>1032</v>
      </c>
      <c r="P58" s="232" t="s">
        <v>1032</v>
      </c>
      <c r="Q58" s="232" t="s">
        <v>1032</v>
      </c>
      <c r="R58" s="232"/>
      <c r="S58" s="232" t="s">
        <v>1135</v>
      </c>
      <c r="T58" s="232" t="s">
        <v>34</v>
      </c>
      <c r="U58" s="232" t="s">
        <v>40</v>
      </c>
      <c r="V58" s="232" t="s">
        <v>1040</v>
      </c>
      <c r="W58" s="232" t="s">
        <v>46</v>
      </c>
      <c r="X58" s="232">
        <f t="shared" si="0"/>
        <v>20</v>
      </c>
    </row>
    <row r="59" spans="1:24" ht="165">
      <c r="A59" s="232" t="s">
        <v>155</v>
      </c>
      <c r="B59" s="232" t="s">
        <v>147</v>
      </c>
      <c r="C59" s="232">
        <v>0</v>
      </c>
      <c r="D59" s="232">
        <v>0</v>
      </c>
      <c r="E59" s="232">
        <v>0</v>
      </c>
      <c r="F59" s="232">
        <v>0</v>
      </c>
      <c r="G59" s="232">
        <v>0</v>
      </c>
      <c r="H59" s="232">
        <v>1</v>
      </c>
      <c r="I59" s="232">
        <v>0</v>
      </c>
      <c r="J59" s="232">
        <v>1</v>
      </c>
      <c r="K59" s="232"/>
      <c r="L59" s="232" t="s">
        <v>148</v>
      </c>
      <c r="M59" s="232" t="s">
        <v>1040</v>
      </c>
      <c r="N59" s="232" t="s">
        <v>1320</v>
      </c>
      <c r="O59" s="232" t="s">
        <v>1032</v>
      </c>
      <c r="P59" s="232" t="s">
        <v>1032</v>
      </c>
      <c r="Q59" s="232" t="s">
        <v>1032</v>
      </c>
      <c r="R59" s="232"/>
      <c r="S59" s="232" t="s">
        <v>1135</v>
      </c>
      <c r="T59" s="232" t="s">
        <v>34</v>
      </c>
      <c r="U59" s="232" t="s">
        <v>149</v>
      </c>
      <c r="V59" s="232" t="s">
        <v>1040</v>
      </c>
      <c r="W59" s="232" t="s">
        <v>75</v>
      </c>
      <c r="X59" s="232">
        <f t="shared" si="0"/>
        <v>10</v>
      </c>
    </row>
    <row r="60" spans="1:24" ht="165">
      <c r="A60" s="232" t="s">
        <v>156</v>
      </c>
      <c r="B60" s="232" t="s">
        <v>152</v>
      </c>
      <c r="C60" s="232">
        <v>0</v>
      </c>
      <c r="D60" s="232">
        <v>0</v>
      </c>
      <c r="E60" s="232">
        <v>0</v>
      </c>
      <c r="F60" s="232">
        <v>0</v>
      </c>
      <c r="G60" s="232">
        <v>0</v>
      </c>
      <c r="H60" s="232">
        <v>1</v>
      </c>
      <c r="I60" s="232">
        <v>0</v>
      </c>
      <c r="J60" s="232">
        <v>1</v>
      </c>
      <c r="K60" s="232"/>
      <c r="L60" s="232" t="s">
        <v>148</v>
      </c>
      <c r="M60" s="232" t="s">
        <v>1040</v>
      </c>
      <c r="N60" s="232" t="s">
        <v>1320</v>
      </c>
      <c r="O60" s="232" t="s">
        <v>1032</v>
      </c>
      <c r="P60" s="232" t="s">
        <v>1032</v>
      </c>
      <c r="Q60" s="232" t="s">
        <v>1032</v>
      </c>
      <c r="R60" s="232"/>
      <c r="S60" s="232" t="s">
        <v>1135</v>
      </c>
      <c r="T60" s="232" t="s">
        <v>34</v>
      </c>
      <c r="U60" s="232" t="s">
        <v>149</v>
      </c>
      <c r="V60" s="232" t="s">
        <v>1040</v>
      </c>
      <c r="W60" s="232" t="s">
        <v>75</v>
      </c>
      <c r="X60" s="232">
        <f t="shared" si="0"/>
        <v>10</v>
      </c>
    </row>
    <row r="61" spans="1:24" ht="165">
      <c r="A61" s="232" t="s">
        <v>159</v>
      </c>
      <c r="B61" s="232" t="s">
        <v>154</v>
      </c>
      <c r="C61" s="232">
        <v>0</v>
      </c>
      <c r="D61" s="232">
        <v>0</v>
      </c>
      <c r="E61" s="232">
        <v>0</v>
      </c>
      <c r="F61" s="232">
        <v>0</v>
      </c>
      <c r="G61" s="232">
        <v>0</v>
      </c>
      <c r="H61" s="232">
        <v>1</v>
      </c>
      <c r="I61" s="232">
        <v>0</v>
      </c>
      <c r="J61" s="232">
        <v>1</v>
      </c>
      <c r="K61" s="232"/>
      <c r="L61" s="232" t="s">
        <v>148</v>
      </c>
      <c r="M61" s="232" t="s">
        <v>1040</v>
      </c>
      <c r="N61" s="232" t="s">
        <v>1320</v>
      </c>
      <c r="O61" s="232" t="s">
        <v>1032</v>
      </c>
      <c r="P61" s="232" t="s">
        <v>1032</v>
      </c>
      <c r="Q61" s="232" t="s">
        <v>1032</v>
      </c>
      <c r="R61" s="232"/>
      <c r="S61" s="232" t="s">
        <v>1135</v>
      </c>
      <c r="T61" s="232" t="s">
        <v>34</v>
      </c>
      <c r="U61" s="232" t="s">
        <v>149</v>
      </c>
      <c r="V61" s="232" t="s">
        <v>1040</v>
      </c>
      <c r="W61" s="232" t="s">
        <v>75</v>
      </c>
      <c r="X61" s="232">
        <f t="shared" si="0"/>
        <v>10</v>
      </c>
    </row>
    <row r="62" spans="1:24" ht="165">
      <c r="A62" s="232" t="s">
        <v>160</v>
      </c>
      <c r="B62" s="232" t="s">
        <v>157</v>
      </c>
      <c r="C62" s="232">
        <v>0</v>
      </c>
      <c r="D62" s="232">
        <v>0</v>
      </c>
      <c r="E62" s="232">
        <v>0</v>
      </c>
      <c r="F62" s="232">
        <v>0</v>
      </c>
      <c r="G62" s="232">
        <v>0</v>
      </c>
      <c r="H62" s="232">
        <v>1</v>
      </c>
      <c r="I62" s="232">
        <v>0</v>
      </c>
      <c r="J62" s="232">
        <v>1</v>
      </c>
      <c r="K62" s="232"/>
      <c r="L62" s="232" t="s">
        <v>148</v>
      </c>
      <c r="M62" s="232" t="s">
        <v>1040</v>
      </c>
      <c r="N62" s="232" t="s">
        <v>1320</v>
      </c>
      <c r="O62" s="232" t="s">
        <v>1032</v>
      </c>
      <c r="P62" s="232" t="s">
        <v>158</v>
      </c>
      <c r="Q62" s="232" t="s">
        <v>1032</v>
      </c>
      <c r="R62" s="232"/>
      <c r="S62" s="232" t="s">
        <v>1135</v>
      </c>
      <c r="T62" s="232" t="s">
        <v>34</v>
      </c>
      <c r="U62" s="232" t="s">
        <v>149</v>
      </c>
      <c r="V62" s="232" t="s">
        <v>1040</v>
      </c>
      <c r="W62" s="232" t="s">
        <v>75</v>
      </c>
      <c r="X62" s="232">
        <f t="shared" si="0"/>
        <v>10</v>
      </c>
    </row>
    <row r="63" spans="1:24" ht="165">
      <c r="A63" s="232" t="s">
        <v>163</v>
      </c>
      <c r="B63" s="232" t="s">
        <v>161</v>
      </c>
      <c r="C63" s="232">
        <v>0</v>
      </c>
      <c r="D63" s="232">
        <v>0</v>
      </c>
      <c r="E63" s="232">
        <v>0</v>
      </c>
      <c r="F63" s="232">
        <v>0</v>
      </c>
      <c r="G63" s="232">
        <v>0</v>
      </c>
      <c r="H63" s="232">
        <v>1</v>
      </c>
      <c r="I63" s="232">
        <v>0</v>
      </c>
      <c r="J63" s="232">
        <v>1</v>
      </c>
      <c r="K63" s="232"/>
      <c r="L63" s="232" t="s">
        <v>148</v>
      </c>
      <c r="M63" s="232" t="s">
        <v>1040</v>
      </c>
      <c r="N63" s="232" t="s">
        <v>1320</v>
      </c>
      <c r="O63" s="232" t="s">
        <v>1032</v>
      </c>
      <c r="P63" s="232" t="s">
        <v>162</v>
      </c>
      <c r="Q63" s="232" t="s">
        <v>1032</v>
      </c>
      <c r="R63" s="232"/>
      <c r="S63" s="232" t="s">
        <v>1135</v>
      </c>
      <c r="T63" s="232" t="s">
        <v>34</v>
      </c>
      <c r="U63" s="232" t="s">
        <v>149</v>
      </c>
      <c r="V63" s="232" t="s">
        <v>1040</v>
      </c>
      <c r="W63" s="232" t="s">
        <v>75</v>
      </c>
      <c r="X63" s="232">
        <f t="shared" si="0"/>
        <v>10</v>
      </c>
    </row>
    <row r="64" spans="1:24" ht="210">
      <c r="A64" s="232" t="s">
        <v>164</v>
      </c>
      <c r="B64" s="232" t="s">
        <v>1045</v>
      </c>
      <c r="C64" s="232">
        <v>0</v>
      </c>
      <c r="D64" s="232">
        <v>0</v>
      </c>
      <c r="E64" s="232">
        <v>0</v>
      </c>
      <c r="F64" s="232">
        <v>1</v>
      </c>
      <c r="G64" s="232">
        <v>0</v>
      </c>
      <c r="H64" s="232">
        <v>0</v>
      </c>
      <c r="I64" s="232">
        <v>0</v>
      </c>
      <c r="J64" s="232">
        <v>1</v>
      </c>
      <c r="K64" s="232"/>
      <c r="L64" s="232" t="s">
        <v>165</v>
      </c>
      <c r="M64" s="232" t="s">
        <v>1040</v>
      </c>
      <c r="N64" s="232" t="s">
        <v>1321</v>
      </c>
      <c r="O64" s="232" t="s">
        <v>166</v>
      </c>
      <c r="P64" s="232" t="s">
        <v>167</v>
      </c>
      <c r="Q64" s="232" t="s">
        <v>168</v>
      </c>
      <c r="R64" s="232"/>
      <c r="S64" s="232" t="s">
        <v>1281</v>
      </c>
      <c r="T64" s="232" t="s">
        <v>1322</v>
      </c>
      <c r="U64" s="232" t="s">
        <v>40</v>
      </c>
      <c r="V64" s="232" t="s">
        <v>1040</v>
      </c>
      <c r="W64" s="232" t="s">
        <v>46</v>
      </c>
      <c r="X64" s="232">
        <f t="shared" si="0"/>
        <v>20</v>
      </c>
    </row>
    <row r="65" spans="1:24" ht="225">
      <c r="A65" s="232" t="s">
        <v>169</v>
      </c>
      <c r="B65" s="232" t="s">
        <v>1046</v>
      </c>
      <c r="C65" s="232">
        <v>0</v>
      </c>
      <c r="D65" s="232">
        <v>0</v>
      </c>
      <c r="E65" s="232">
        <v>0</v>
      </c>
      <c r="F65" s="232">
        <v>1</v>
      </c>
      <c r="G65" s="232">
        <v>0</v>
      </c>
      <c r="H65" s="232">
        <v>0</v>
      </c>
      <c r="I65" s="232">
        <v>0</v>
      </c>
      <c r="J65" s="232">
        <v>0</v>
      </c>
      <c r="K65" s="232"/>
      <c r="L65" s="232" t="s">
        <v>165</v>
      </c>
      <c r="M65" s="232" t="s">
        <v>1040</v>
      </c>
      <c r="N65" s="232" t="s">
        <v>1321</v>
      </c>
      <c r="O65" s="232" t="s">
        <v>1032</v>
      </c>
      <c r="P65" s="232" t="s">
        <v>179</v>
      </c>
      <c r="Q65" s="232" t="s">
        <v>180</v>
      </c>
      <c r="R65" s="232"/>
      <c r="S65" s="232" t="s">
        <v>1323</v>
      </c>
      <c r="T65" s="232" t="s">
        <v>1324</v>
      </c>
      <c r="U65" s="232" t="s">
        <v>40</v>
      </c>
      <c r="V65" s="232" t="s">
        <v>1040</v>
      </c>
      <c r="W65" s="232" t="s">
        <v>46</v>
      </c>
      <c r="X65" s="232">
        <f t="shared" si="0"/>
        <v>20</v>
      </c>
    </row>
    <row r="66" spans="1:24" ht="210">
      <c r="A66" s="232" t="s">
        <v>173</v>
      </c>
      <c r="B66" s="232" t="s">
        <v>1047</v>
      </c>
      <c r="C66" s="232">
        <v>0</v>
      </c>
      <c r="D66" s="232">
        <v>0</v>
      </c>
      <c r="E66" s="232">
        <v>0</v>
      </c>
      <c r="F66" s="232">
        <v>1</v>
      </c>
      <c r="G66" s="232">
        <v>0</v>
      </c>
      <c r="H66" s="232">
        <v>0</v>
      </c>
      <c r="I66" s="232">
        <v>0</v>
      </c>
      <c r="J66" s="232">
        <v>0</v>
      </c>
      <c r="K66" s="232"/>
      <c r="L66" s="232" t="s">
        <v>165</v>
      </c>
      <c r="M66" s="232" t="s">
        <v>1040</v>
      </c>
      <c r="N66" s="232" t="s">
        <v>1321</v>
      </c>
      <c r="O66" s="232" t="s">
        <v>187</v>
      </c>
      <c r="P66" s="232" t="s">
        <v>188</v>
      </c>
      <c r="Q66" s="232" t="s">
        <v>189</v>
      </c>
      <c r="R66" s="232"/>
      <c r="S66" s="232" t="s">
        <v>1469</v>
      </c>
      <c r="T66" s="232" t="s">
        <v>1325</v>
      </c>
      <c r="U66" s="232" t="s">
        <v>40</v>
      </c>
      <c r="V66" s="232" t="s">
        <v>1040</v>
      </c>
      <c r="W66" s="232" t="s">
        <v>46</v>
      </c>
      <c r="X66" s="232">
        <f t="shared" ref="X66:X128" si="1">IF($W66="Critical Importance",20,IF($W66="Minor Importance",5,10))</f>
        <v>20</v>
      </c>
    </row>
    <row r="67" spans="1:24" ht="90">
      <c r="A67" s="232" t="s">
        <v>178</v>
      </c>
      <c r="B67" s="232" t="s">
        <v>197</v>
      </c>
      <c r="C67" s="232">
        <v>0</v>
      </c>
      <c r="D67" s="232">
        <v>0</v>
      </c>
      <c r="E67" s="232">
        <v>0</v>
      </c>
      <c r="F67" s="232">
        <v>1</v>
      </c>
      <c r="G67" s="232">
        <v>0</v>
      </c>
      <c r="H67" s="232">
        <v>0</v>
      </c>
      <c r="I67" s="232">
        <v>0</v>
      </c>
      <c r="J67" s="232">
        <v>1</v>
      </c>
      <c r="K67" s="232"/>
      <c r="L67" s="232" t="s">
        <v>165</v>
      </c>
      <c r="M67" s="232" t="s">
        <v>1040</v>
      </c>
      <c r="N67" s="232" t="s">
        <v>1321</v>
      </c>
      <c r="O67" s="232" t="s">
        <v>1032</v>
      </c>
      <c r="P67" s="232" t="s">
        <v>198</v>
      </c>
      <c r="Q67" s="232" t="s">
        <v>199</v>
      </c>
      <c r="R67" s="232"/>
      <c r="S67" s="232" t="s">
        <v>200</v>
      </c>
      <c r="T67" s="232" t="s">
        <v>1326</v>
      </c>
      <c r="U67" s="232" t="s">
        <v>149</v>
      </c>
      <c r="V67" s="232" t="s">
        <v>1040</v>
      </c>
      <c r="W67" s="232" t="s">
        <v>46</v>
      </c>
      <c r="X67" s="232">
        <f t="shared" si="1"/>
        <v>20</v>
      </c>
    </row>
    <row r="68" spans="1:24" ht="255">
      <c r="A68" s="232" t="s">
        <v>181</v>
      </c>
      <c r="B68" s="232" t="s">
        <v>1048</v>
      </c>
      <c r="C68" s="232">
        <v>0</v>
      </c>
      <c r="D68" s="232">
        <v>0</v>
      </c>
      <c r="E68" s="232">
        <v>0</v>
      </c>
      <c r="F68" s="232">
        <v>1</v>
      </c>
      <c r="G68" s="232">
        <v>0</v>
      </c>
      <c r="H68" s="232">
        <v>0</v>
      </c>
      <c r="I68" s="232">
        <v>0</v>
      </c>
      <c r="J68" s="232">
        <v>0</v>
      </c>
      <c r="K68" s="232"/>
      <c r="L68" s="232" t="s">
        <v>165</v>
      </c>
      <c r="M68" s="232" t="s">
        <v>1040</v>
      </c>
      <c r="N68" s="232" t="s">
        <v>1321</v>
      </c>
      <c r="O68" s="232" t="s">
        <v>1032</v>
      </c>
      <c r="P68" s="232" t="s">
        <v>202</v>
      </c>
      <c r="Q68" s="232" t="s">
        <v>203</v>
      </c>
      <c r="R68" s="232"/>
      <c r="S68" s="232" t="s">
        <v>1327</v>
      </c>
      <c r="T68" s="232" t="s">
        <v>1328</v>
      </c>
      <c r="U68" s="232" t="s">
        <v>40</v>
      </c>
      <c r="V68" s="232" t="s">
        <v>1040</v>
      </c>
      <c r="W68" s="232" t="s">
        <v>46</v>
      </c>
      <c r="X68" s="232">
        <f t="shared" si="1"/>
        <v>20</v>
      </c>
    </row>
    <row r="69" spans="1:24" ht="240">
      <c r="A69" s="232" t="s">
        <v>186</v>
      </c>
      <c r="B69" s="232" t="s">
        <v>1049</v>
      </c>
      <c r="C69" s="232">
        <v>0</v>
      </c>
      <c r="D69" s="232">
        <v>0</v>
      </c>
      <c r="E69" s="232">
        <v>0</v>
      </c>
      <c r="F69" s="232">
        <v>1</v>
      </c>
      <c r="G69" s="232">
        <v>0</v>
      </c>
      <c r="H69" s="232">
        <v>0</v>
      </c>
      <c r="I69" s="232">
        <v>0</v>
      </c>
      <c r="J69" s="232">
        <v>0</v>
      </c>
      <c r="K69" s="232"/>
      <c r="L69" s="232" t="s">
        <v>165</v>
      </c>
      <c r="M69" s="232" t="s">
        <v>1040</v>
      </c>
      <c r="N69" s="232" t="s">
        <v>1321</v>
      </c>
      <c r="O69" s="232" t="s">
        <v>1032</v>
      </c>
      <c r="P69" s="232" t="s">
        <v>217</v>
      </c>
      <c r="Q69" s="232" t="s">
        <v>218</v>
      </c>
      <c r="R69" s="232"/>
      <c r="S69" s="232" t="s">
        <v>1329</v>
      </c>
      <c r="T69" s="232" t="s">
        <v>1330</v>
      </c>
      <c r="U69" s="232" t="s">
        <v>40</v>
      </c>
      <c r="V69" s="232" t="s">
        <v>1040</v>
      </c>
      <c r="W69" s="232" t="s">
        <v>46</v>
      </c>
      <c r="X69" s="232">
        <f t="shared" si="1"/>
        <v>20</v>
      </c>
    </row>
    <row r="70" spans="1:24" ht="135">
      <c r="A70" s="232" t="s">
        <v>190</v>
      </c>
      <c r="B70" s="232" t="s">
        <v>1050</v>
      </c>
      <c r="C70" s="232">
        <v>0</v>
      </c>
      <c r="D70" s="232">
        <v>0</v>
      </c>
      <c r="E70" s="232">
        <v>0</v>
      </c>
      <c r="F70" s="232">
        <v>1</v>
      </c>
      <c r="G70" s="232">
        <v>0</v>
      </c>
      <c r="H70" s="232">
        <v>0</v>
      </c>
      <c r="I70" s="232">
        <v>0</v>
      </c>
      <c r="J70" s="232">
        <v>0</v>
      </c>
      <c r="K70" s="232"/>
      <c r="L70" s="232" t="s">
        <v>165</v>
      </c>
      <c r="M70" s="232" t="s">
        <v>1040</v>
      </c>
      <c r="N70" s="232" t="s">
        <v>1321</v>
      </c>
      <c r="O70" s="232" t="s">
        <v>1032</v>
      </c>
      <c r="P70" s="232" t="s">
        <v>220</v>
      </c>
      <c r="Q70" s="232" t="s">
        <v>221</v>
      </c>
      <c r="R70" s="232"/>
      <c r="S70" s="232" t="s">
        <v>1331</v>
      </c>
      <c r="T70" s="232" t="s">
        <v>1332</v>
      </c>
      <c r="U70" s="232" t="s">
        <v>40</v>
      </c>
      <c r="V70" s="232" t="s">
        <v>1040</v>
      </c>
      <c r="W70" s="232" t="s">
        <v>46</v>
      </c>
      <c r="X70" s="232">
        <f t="shared" si="1"/>
        <v>20</v>
      </c>
    </row>
    <row r="71" spans="1:24" ht="225">
      <c r="A71" s="232" t="s">
        <v>196</v>
      </c>
      <c r="B71" s="232" t="s">
        <v>170</v>
      </c>
      <c r="C71" s="232">
        <v>0</v>
      </c>
      <c r="D71" s="232">
        <v>0</v>
      </c>
      <c r="E71" s="232">
        <v>0</v>
      </c>
      <c r="F71" s="232">
        <v>1</v>
      </c>
      <c r="G71" s="232">
        <v>0</v>
      </c>
      <c r="H71" s="232">
        <v>0</v>
      </c>
      <c r="I71" s="232">
        <v>0</v>
      </c>
      <c r="J71" s="232">
        <v>1</v>
      </c>
      <c r="K71" s="232"/>
      <c r="L71" s="232" t="s">
        <v>165</v>
      </c>
      <c r="M71" s="232" t="s">
        <v>1040</v>
      </c>
      <c r="N71" s="232" t="s">
        <v>1321</v>
      </c>
      <c r="O71" s="232" t="s">
        <v>171</v>
      </c>
      <c r="P71" s="232" t="s">
        <v>172</v>
      </c>
      <c r="Q71" s="232" t="s">
        <v>1032</v>
      </c>
      <c r="R71" s="232"/>
      <c r="S71" s="232" t="s">
        <v>1333</v>
      </c>
      <c r="T71" s="232" t="s">
        <v>1334</v>
      </c>
      <c r="U71" s="232" t="s">
        <v>40</v>
      </c>
      <c r="V71" s="232" t="s">
        <v>1040</v>
      </c>
      <c r="W71" s="232" t="s">
        <v>75</v>
      </c>
      <c r="X71" s="232">
        <f t="shared" si="1"/>
        <v>10</v>
      </c>
    </row>
    <row r="72" spans="1:24" ht="225">
      <c r="A72" s="232" t="s">
        <v>201</v>
      </c>
      <c r="B72" s="232" t="s">
        <v>174</v>
      </c>
      <c r="C72" s="232">
        <v>0</v>
      </c>
      <c r="D72" s="232">
        <v>0</v>
      </c>
      <c r="E72" s="232">
        <v>0</v>
      </c>
      <c r="F72" s="232">
        <v>1</v>
      </c>
      <c r="G72" s="232">
        <v>0</v>
      </c>
      <c r="H72" s="232">
        <v>0</v>
      </c>
      <c r="I72" s="232">
        <v>0</v>
      </c>
      <c r="J72" s="232">
        <v>0</v>
      </c>
      <c r="K72" s="232"/>
      <c r="L72" s="232" t="s">
        <v>165</v>
      </c>
      <c r="M72" s="232" t="s">
        <v>1040</v>
      </c>
      <c r="N72" s="232" t="s">
        <v>1321</v>
      </c>
      <c r="O72" s="232" t="s">
        <v>1032</v>
      </c>
      <c r="P72" s="232" t="s">
        <v>175</v>
      </c>
      <c r="Q72" s="232" t="s">
        <v>176</v>
      </c>
      <c r="R72" s="232"/>
      <c r="S72" s="232" t="s">
        <v>177</v>
      </c>
      <c r="T72" s="232" t="s">
        <v>1289</v>
      </c>
      <c r="U72" s="232" t="s">
        <v>40</v>
      </c>
      <c r="V72" s="232" t="s">
        <v>1040</v>
      </c>
      <c r="W72" s="232" t="s">
        <v>75</v>
      </c>
      <c r="X72" s="232">
        <f t="shared" si="1"/>
        <v>10</v>
      </c>
    </row>
    <row r="73" spans="1:24" ht="255">
      <c r="A73" s="232" t="s">
        <v>204</v>
      </c>
      <c r="B73" s="232" t="s">
        <v>182</v>
      </c>
      <c r="C73" s="232">
        <v>0</v>
      </c>
      <c r="D73" s="232">
        <v>0</v>
      </c>
      <c r="E73" s="232">
        <v>0</v>
      </c>
      <c r="F73" s="232">
        <v>1</v>
      </c>
      <c r="G73" s="232">
        <v>0</v>
      </c>
      <c r="H73" s="232">
        <v>0</v>
      </c>
      <c r="I73" s="232">
        <v>0</v>
      </c>
      <c r="J73" s="232">
        <v>0</v>
      </c>
      <c r="K73" s="232"/>
      <c r="L73" s="232" t="s">
        <v>165</v>
      </c>
      <c r="M73" s="232" t="s">
        <v>1040</v>
      </c>
      <c r="N73" s="232" t="s">
        <v>1321</v>
      </c>
      <c r="O73" s="232" t="s">
        <v>183</v>
      </c>
      <c r="P73" s="232" t="s">
        <v>90</v>
      </c>
      <c r="Q73" s="232" t="s">
        <v>184</v>
      </c>
      <c r="R73" s="232"/>
      <c r="S73" s="232" t="s">
        <v>1335</v>
      </c>
      <c r="T73" s="232" t="s">
        <v>185</v>
      </c>
      <c r="U73" s="232" t="s">
        <v>40</v>
      </c>
      <c r="V73" s="232" t="s">
        <v>1040</v>
      </c>
      <c r="W73" s="232" t="s">
        <v>75</v>
      </c>
      <c r="X73" s="232">
        <f t="shared" si="1"/>
        <v>10</v>
      </c>
    </row>
    <row r="74" spans="1:24" ht="180">
      <c r="A74" s="232" t="s">
        <v>208</v>
      </c>
      <c r="B74" s="232" t="s">
        <v>209</v>
      </c>
      <c r="C74" s="232">
        <v>0</v>
      </c>
      <c r="D74" s="232">
        <v>0</v>
      </c>
      <c r="E74" s="232">
        <v>0</v>
      </c>
      <c r="F74" s="232">
        <v>1</v>
      </c>
      <c r="G74" s="232">
        <v>0</v>
      </c>
      <c r="H74" s="232">
        <v>0</v>
      </c>
      <c r="I74" s="232">
        <v>0</v>
      </c>
      <c r="J74" s="232">
        <v>0</v>
      </c>
      <c r="K74" s="232"/>
      <c r="L74" s="232" t="s">
        <v>165</v>
      </c>
      <c r="M74" s="232" t="s">
        <v>1040</v>
      </c>
      <c r="N74" s="232" t="s">
        <v>1321</v>
      </c>
      <c r="O74" s="232" t="s">
        <v>1032</v>
      </c>
      <c r="P74" s="232" t="s">
        <v>210</v>
      </c>
      <c r="Q74" s="232" t="s">
        <v>211</v>
      </c>
      <c r="R74" s="232"/>
      <c r="S74" s="232" t="s">
        <v>1336</v>
      </c>
      <c r="T74" s="232" t="s">
        <v>1337</v>
      </c>
      <c r="U74" s="232" t="s">
        <v>40</v>
      </c>
      <c r="V74" s="232" t="s">
        <v>1040</v>
      </c>
      <c r="W74" s="232" t="s">
        <v>75</v>
      </c>
      <c r="X74" s="232">
        <f t="shared" si="1"/>
        <v>10</v>
      </c>
    </row>
    <row r="75" spans="1:24" ht="180">
      <c r="A75" s="232" t="s">
        <v>212</v>
      </c>
      <c r="B75" s="232" t="s">
        <v>213</v>
      </c>
      <c r="C75" s="232">
        <v>0</v>
      </c>
      <c r="D75" s="232">
        <v>0</v>
      </c>
      <c r="E75" s="232">
        <v>0</v>
      </c>
      <c r="F75" s="232">
        <v>1</v>
      </c>
      <c r="G75" s="232">
        <v>0</v>
      </c>
      <c r="H75" s="232">
        <v>0</v>
      </c>
      <c r="I75" s="232">
        <v>0</v>
      </c>
      <c r="J75" s="232">
        <v>0</v>
      </c>
      <c r="K75" s="232"/>
      <c r="L75" s="232" t="s">
        <v>165</v>
      </c>
      <c r="M75" s="232" t="s">
        <v>1040</v>
      </c>
      <c r="N75" s="232" t="s">
        <v>1321</v>
      </c>
      <c r="O75" s="232" t="s">
        <v>1032</v>
      </c>
      <c r="P75" s="232" t="s">
        <v>214</v>
      </c>
      <c r="Q75" s="232" t="s">
        <v>215</v>
      </c>
      <c r="R75" s="232"/>
      <c r="S75" s="232" t="s">
        <v>1336</v>
      </c>
      <c r="T75" s="232" t="s">
        <v>1337</v>
      </c>
      <c r="U75" s="232" t="s">
        <v>40</v>
      </c>
      <c r="V75" s="232" t="s">
        <v>1040</v>
      </c>
      <c r="W75" s="232" t="s">
        <v>75</v>
      </c>
      <c r="X75" s="232">
        <f t="shared" si="1"/>
        <v>10</v>
      </c>
    </row>
    <row r="76" spans="1:24" ht="135">
      <c r="A76" s="232" t="s">
        <v>216</v>
      </c>
      <c r="B76" s="232" t="s">
        <v>191</v>
      </c>
      <c r="C76" s="232">
        <v>0</v>
      </c>
      <c r="D76" s="232">
        <v>0</v>
      </c>
      <c r="E76" s="232">
        <v>0</v>
      </c>
      <c r="F76" s="232">
        <v>1</v>
      </c>
      <c r="G76" s="232">
        <v>0</v>
      </c>
      <c r="H76" s="232">
        <v>0</v>
      </c>
      <c r="I76" s="232">
        <v>0</v>
      </c>
      <c r="J76" s="232">
        <v>0</v>
      </c>
      <c r="K76" s="232"/>
      <c r="L76" s="232" t="s">
        <v>165</v>
      </c>
      <c r="M76" s="232" t="s">
        <v>1040</v>
      </c>
      <c r="N76" s="232" t="s">
        <v>1321</v>
      </c>
      <c r="O76" s="232" t="s">
        <v>192</v>
      </c>
      <c r="P76" s="232" t="s">
        <v>193</v>
      </c>
      <c r="Q76" s="232" t="s">
        <v>194</v>
      </c>
      <c r="R76" s="232" t="s">
        <v>1615</v>
      </c>
      <c r="S76" s="232" t="s">
        <v>195</v>
      </c>
      <c r="T76" s="232" t="s">
        <v>1338</v>
      </c>
      <c r="U76" s="232" t="s">
        <v>40</v>
      </c>
      <c r="V76" s="232" t="s">
        <v>1040</v>
      </c>
      <c r="W76" s="232" t="s">
        <v>41</v>
      </c>
      <c r="X76" s="232">
        <f t="shared" si="1"/>
        <v>5</v>
      </c>
    </row>
    <row r="77" spans="1:24" ht="195">
      <c r="A77" s="232" t="s">
        <v>219</v>
      </c>
      <c r="B77" s="232" t="s">
        <v>205</v>
      </c>
      <c r="C77" s="232">
        <v>0</v>
      </c>
      <c r="D77" s="232">
        <v>0</v>
      </c>
      <c r="E77" s="232">
        <v>0</v>
      </c>
      <c r="F77" s="232">
        <v>1</v>
      </c>
      <c r="G77" s="232">
        <v>0</v>
      </c>
      <c r="H77" s="232">
        <v>0</v>
      </c>
      <c r="I77" s="232">
        <v>0</v>
      </c>
      <c r="J77" s="232">
        <v>0</v>
      </c>
      <c r="K77" s="232"/>
      <c r="L77" s="232" t="s">
        <v>165</v>
      </c>
      <c r="M77" s="232" t="s">
        <v>1040</v>
      </c>
      <c r="N77" s="232" t="s">
        <v>1321</v>
      </c>
      <c r="O77" s="232" t="s">
        <v>1032</v>
      </c>
      <c r="P77" s="232" t="s">
        <v>206</v>
      </c>
      <c r="Q77" s="232" t="s">
        <v>207</v>
      </c>
      <c r="R77" s="232"/>
      <c r="S77" s="232" t="s">
        <v>1339</v>
      </c>
      <c r="T77" s="232" t="s">
        <v>1340</v>
      </c>
      <c r="U77" s="232" t="s">
        <v>40</v>
      </c>
      <c r="V77" s="232" t="s">
        <v>1040</v>
      </c>
      <c r="W77" s="232" t="s">
        <v>41</v>
      </c>
      <c r="X77" s="232">
        <f t="shared" si="1"/>
        <v>5</v>
      </c>
    </row>
    <row r="78" spans="1:24" ht="195">
      <c r="A78" s="232" t="s">
        <v>222</v>
      </c>
      <c r="B78" s="232" t="s">
        <v>1051</v>
      </c>
      <c r="C78" s="232">
        <v>0</v>
      </c>
      <c r="D78" s="232">
        <v>0</v>
      </c>
      <c r="E78" s="232">
        <v>1</v>
      </c>
      <c r="F78" s="232">
        <v>0</v>
      </c>
      <c r="G78" s="232">
        <v>0</v>
      </c>
      <c r="H78" s="232">
        <v>0</v>
      </c>
      <c r="I78" s="232">
        <v>0</v>
      </c>
      <c r="J78" s="232">
        <v>1</v>
      </c>
      <c r="K78" s="232"/>
      <c r="L78" s="232" t="s">
        <v>4</v>
      </c>
      <c r="M78" s="232" t="s">
        <v>1040</v>
      </c>
      <c r="N78" s="232" t="s">
        <v>1321</v>
      </c>
      <c r="O78" s="232" t="s">
        <v>1136</v>
      </c>
      <c r="P78" s="232" t="s">
        <v>223</v>
      </c>
      <c r="Q78" s="232" t="s">
        <v>224</v>
      </c>
      <c r="R78" s="232"/>
      <c r="S78" s="232" t="s">
        <v>225</v>
      </c>
      <c r="T78" s="232" t="s">
        <v>226</v>
      </c>
      <c r="U78" s="232" t="s">
        <v>40</v>
      </c>
      <c r="V78" s="232" t="s">
        <v>1040</v>
      </c>
      <c r="W78" s="232" t="s">
        <v>46</v>
      </c>
      <c r="X78" s="232">
        <f t="shared" si="1"/>
        <v>20</v>
      </c>
    </row>
    <row r="79" spans="1:24" ht="165">
      <c r="A79" s="232" t="s">
        <v>227</v>
      </c>
      <c r="B79" s="232" t="s">
        <v>1620</v>
      </c>
      <c r="C79" s="232">
        <v>0</v>
      </c>
      <c r="D79" s="232">
        <v>0</v>
      </c>
      <c r="E79" s="232">
        <v>1</v>
      </c>
      <c r="F79" s="232">
        <v>0</v>
      </c>
      <c r="G79" s="232">
        <v>0</v>
      </c>
      <c r="H79" s="232">
        <v>0</v>
      </c>
      <c r="I79" s="232">
        <v>0</v>
      </c>
      <c r="J79" s="232">
        <v>1</v>
      </c>
      <c r="K79" s="232"/>
      <c r="L79" s="232" t="s">
        <v>4</v>
      </c>
      <c r="M79" s="232" t="s">
        <v>1040</v>
      </c>
      <c r="N79" s="232" t="s">
        <v>1321</v>
      </c>
      <c r="O79" s="232" t="s">
        <v>1032</v>
      </c>
      <c r="P79" s="232" t="s">
        <v>228</v>
      </c>
      <c r="Q79" s="232" t="s">
        <v>229</v>
      </c>
      <c r="R79" s="232"/>
      <c r="S79" s="232" t="s">
        <v>1627</v>
      </c>
      <c r="T79" s="232" t="s">
        <v>230</v>
      </c>
      <c r="U79" s="232" t="s">
        <v>40</v>
      </c>
      <c r="V79" s="232" t="s">
        <v>1040</v>
      </c>
      <c r="W79" s="232" t="s">
        <v>46</v>
      </c>
      <c r="X79" s="232">
        <f t="shared" si="1"/>
        <v>20</v>
      </c>
    </row>
    <row r="80" spans="1:24" ht="165">
      <c r="A80" s="232" t="s">
        <v>231</v>
      </c>
      <c r="B80" s="232" t="s">
        <v>1621</v>
      </c>
      <c r="C80" s="232">
        <v>0</v>
      </c>
      <c r="D80" s="232">
        <v>0</v>
      </c>
      <c r="E80" s="232">
        <v>1</v>
      </c>
      <c r="F80" s="232">
        <v>0</v>
      </c>
      <c r="G80" s="232">
        <v>0</v>
      </c>
      <c r="H80" s="232">
        <v>0</v>
      </c>
      <c r="I80" s="232">
        <v>0</v>
      </c>
      <c r="J80" s="232">
        <v>0</v>
      </c>
      <c r="K80" s="232"/>
      <c r="L80" s="232" t="s">
        <v>4</v>
      </c>
      <c r="M80" s="232" t="s">
        <v>1040</v>
      </c>
      <c r="N80" s="232" t="s">
        <v>1321</v>
      </c>
      <c r="O80" s="232" t="s">
        <v>1032</v>
      </c>
      <c r="P80" s="232" t="s">
        <v>233</v>
      </c>
      <c r="Q80" s="232" t="s">
        <v>234</v>
      </c>
      <c r="R80" s="232"/>
      <c r="S80" s="232" t="s">
        <v>1628</v>
      </c>
      <c r="T80" s="232" t="s">
        <v>235</v>
      </c>
      <c r="U80" s="232" t="s">
        <v>40</v>
      </c>
      <c r="V80" s="232" t="s">
        <v>1040</v>
      </c>
      <c r="W80" s="232" t="s">
        <v>46</v>
      </c>
      <c r="X80" s="232">
        <f t="shared" si="1"/>
        <v>20</v>
      </c>
    </row>
    <row r="81" spans="1:24" ht="165">
      <c r="A81" s="232" t="s">
        <v>232</v>
      </c>
      <c r="B81" s="232" t="s">
        <v>1622</v>
      </c>
      <c r="C81" s="232">
        <v>0</v>
      </c>
      <c r="D81" s="232">
        <v>0</v>
      </c>
      <c r="E81" s="232">
        <v>1</v>
      </c>
      <c r="F81" s="232">
        <v>0</v>
      </c>
      <c r="G81" s="232">
        <v>0</v>
      </c>
      <c r="H81" s="232">
        <v>0</v>
      </c>
      <c r="I81" s="232">
        <v>0</v>
      </c>
      <c r="J81" s="232">
        <v>0</v>
      </c>
      <c r="K81" s="232"/>
      <c r="L81" s="232" t="s">
        <v>4</v>
      </c>
      <c r="M81" s="232" t="s">
        <v>1040</v>
      </c>
      <c r="N81" s="232" t="s">
        <v>1321</v>
      </c>
      <c r="O81" s="232" t="s">
        <v>1245</v>
      </c>
      <c r="P81" s="232" t="s">
        <v>1032</v>
      </c>
      <c r="Q81" s="232" t="s">
        <v>237</v>
      </c>
      <c r="R81" s="232"/>
      <c r="S81" s="232" t="s">
        <v>1628</v>
      </c>
      <c r="T81" s="232" t="s">
        <v>238</v>
      </c>
      <c r="U81" s="232" t="s">
        <v>149</v>
      </c>
      <c r="V81" s="232" t="s">
        <v>1040</v>
      </c>
      <c r="W81" s="232" t="s">
        <v>46</v>
      </c>
      <c r="X81" s="232">
        <f t="shared" si="1"/>
        <v>20</v>
      </c>
    </row>
    <row r="82" spans="1:24" ht="180">
      <c r="A82" s="232" t="s">
        <v>236</v>
      </c>
      <c r="B82" s="232" t="s">
        <v>1623</v>
      </c>
      <c r="C82" s="232">
        <v>0</v>
      </c>
      <c r="D82" s="232">
        <v>0</v>
      </c>
      <c r="E82" s="232">
        <v>1</v>
      </c>
      <c r="F82" s="232">
        <v>0</v>
      </c>
      <c r="G82" s="232">
        <v>0</v>
      </c>
      <c r="H82" s="232">
        <v>0</v>
      </c>
      <c r="I82" s="232">
        <v>0</v>
      </c>
      <c r="J82" s="232">
        <v>0</v>
      </c>
      <c r="K82" s="232"/>
      <c r="L82" s="232" t="s">
        <v>4</v>
      </c>
      <c r="M82" s="232" t="s">
        <v>1040</v>
      </c>
      <c r="N82" s="232" t="s">
        <v>1321</v>
      </c>
      <c r="O82" s="232" t="s">
        <v>1032</v>
      </c>
      <c r="P82" s="232" t="s">
        <v>240</v>
      </c>
      <c r="Q82" s="232" t="s">
        <v>241</v>
      </c>
      <c r="R82" s="232"/>
      <c r="S82" s="232" t="s">
        <v>1629</v>
      </c>
      <c r="T82" s="232" t="s">
        <v>1341</v>
      </c>
      <c r="U82" s="232" t="s">
        <v>40</v>
      </c>
      <c r="V82" s="232" t="s">
        <v>1040</v>
      </c>
      <c r="W82" s="232" t="s">
        <v>46</v>
      </c>
      <c r="X82" s="232">
        <f t="shared" si="1"/>
        <v>20</v>
      </c>
    </row>
    <row r="83" spans="1:24" ht="150">
      <c r="A83" s="232" t="s">
        <v>239</v>
      </c>
      <c r="B83" s="232" t="s">
        <v>1052</v>
      </c>
      <c r="C83" s="232">
        <v>0</v>
      </c>
      <c r="D83" s="232">
        <v>0</v>
      </c>
      <c r="E83" s="232">
        <v>1</v>
      </c>
      <c r="F83" s="232">
        <v>0</v>
      </c>
      <c r="G83" s="232">
        <v>0</v>
      </c>
      <c r="H83" s="232">
        <v>0</v>
      </c>
      <c r="I83" s="232">
        <v>0</v>
      </c>
      <c r="J83" s="232">
        <v>0</v>
      </c>
      <c r="K83" s="232"/>
      <c r="L83" s="232" t="s">
        <v>4</v>
      </c>
      <c r="M83" s="232" t="s">
        <v>1040</v>
      </c>
      <c r="N83" s="232" t="s">
        <v>1321</v>
      </c>
      <c r="O83" s="232" t="s">
        <v>1032</v>
      </c>
      <c r="P83" s="232" t="s">
        <v>243</v>
      </c>
      <c r="Q83" s="232" t="s">
        <v>244</v>
      </c>
      <c r="R83" s="232"/>
      <c r="S83" s="232" t="s">
        <v>1342</v>
      </c>
      <c r="T83" s="232" t="s">
        <v>1343</v>
      </c>
      <c r="U83" s="232" t="s">
        <v>40</v>
      </c>
      <c r="V83" s="232" t="s">
        <v>1040</v>
      </c>
      <c r="W83" s="232" t="s">
        <v>46</v>
      </c>
      <c r="X83" s="232">
        <f t="shared" si="1"/>
        <v>20</v>
      </c>
    </row>
    <row r="84" spans="1:24" ht="165">
      <c r="A84" s="232" t="s">
        <v>242</v>
      </c>
      <c r="B84" s="232" t="s">
        <v>1246</v>
      </c>
      <c r="C84" s="232">
        <v>0</v>
      </c>
      <c r="D84" s="232">
        <v>0</v>
      </c>
      <c r="E84" s="232">
        <v>1</v>
      </c>
      <c r="F84" s="232">
        <v>0</v>
      </c>
      <c r="G84" s="232">
        <v>0</v>
      </c>
      <c r="H84" s="232">
        <v>0</v>
      </c>
      <c r="I84" s="232">
        <v>0</v>
      </c>
      <c r="J84" s="232">
        <v>0</v>
      </c>
      <c r="K84" s="232"/>
      <c r="L84" s="232" t="s">
        <v>4</v>
      </c>
      <c r="M84" s="232" t="s">
        <v>1040</v>
      </c>
      <c r="N84" s="232" t="s">
        <v>1321</v>
      </c>
      <c r="O84" s="232" t="s">
        <v>1032</v>
      </c>
      <c r="P84" s="232" t="s">
        <v>1032</v>
      </c>
      <c r="Q84" s="232" t="s">
        <v>1247</v>
      </c>
      <c r="R84" s="232"/>
      <c r="S84" s="232" t="s">
        <v>1344</v>
      </c>
      <c r="T84" s="232" t="s">
        <v>1345</v>
      </c>
      <c r="U84" s="232" t="s">
        <v>149</v>
      </c>
      <c r="V84" s="232" t="s">
        <v>1040</v>
      </c>
      <c r="W84" s="232" t="s">
        <v>46</v>
      </c>
      <c r="X84" s="232">
        <f t="shared" si="1"/>
        <v>20</v>
      </c>
    </row>
    <row r="85" spans="1:24" ht="90">
      <c r="A85" s="232" t="s">
        <v>245</v>
      </c>
      <c r="B85" s="232" t="s">
        <v>1053</v>
      </c>
      <c r="C85" s="232">
        <v>0</v>
      </c>
      <c r="D85" s="232">
        <v>0</v>
      </c>
      <c r="E85" s="232">
        <v>1</v>
      </c>
      <c r="F85" s="232">
        <v>0</v>
      </c>
      <c r="G85" s="232">
        <v>0</v>
      </c>
      <c r="H85" s="232">
        <v>0</v>
      </c>
      <c r="I85" s="232">
        <v>0</v>
      </c>
      <c r="J85" s="232">
        <v>0</v>
      </c>
      <c r="K85" s="232"/>
      <c r="L85" s="232" t="s">
        <v>4</v>
      </c>
      <c r="M85" s="232" t="s">
        <v>1040</v>
      </c>
      <c r="N85" s="232" t="s">
        <v>1321</v>
      </c>
      <c r="O85" s="232" t="s">
        <v>1032</v>
      </c>
      <c r="P85" s="232" t="s">
        <v>1032</v>
      </c>
      <c r="Q85" s="232" t="s">
        <v>268</v>
      </c>
      <c r="R85" s="232"/>
      <c r="S85" s="232" t="s">
        <v>269</v>
      </c>
      <c r="T85" s="232" t="s">
        <v>270</v>
      </c>
      <c r="U85" s="232" t="s">
        <v>149</v>
      </c>
      <c r="V85" s="232" t="s">
        <v>1040</v>
      </c>
      <c r="W85" s="232" t="s">
        <v>46</v>
      </c>
      <c r="X85" s="232">
        <f t="shared" si="1"/>
        <v>20</v>
      </c>
    </row>
    <row r="86" spans="1:24" ht="195">
      <c r="A86" s="232" t="s">
        <v>248</v>
      </c>
      <c r="B86" s="232" t="s">
        <v>1054</v>
      </c>
      <c r="C86" s="232">
        <v>0</v>
      </c>
      <c r="D86" s="232">
        <v>0</v>
      </c>
      <c r="E86" s="232">
        <v>1</v>
      </c>
      <c r="F86" s="232">
        <v>0</v>
      </c>
      <c r="G86" s="232">
        <v>0</v>
      </c>
      <c r="H86" s="232">
        <v>0</v>
      </c>
      <c r="I86" s="232">
        <v>0</v>
      </c>
      <c r="J86" s="232">
        <v>1</v>
      </c>
      <c r="K86" s="232"/>
      <c r="L86" s="232" t="s">
        <v>4</v>
      </c>
      <c r="M86" s="232" t="s">
        <v>1040</v>
      </c>
      <c r="N86" s="232" t="s">
        <v>1321</v>
      </c>
      <c r="O86" s="232" t="s">
        <v>1032</v>
      </c>
      <c r="P86" s="232" t="s">
        <v>275</v>
      </c>
      <c r="Q86" s="232" t="s">
        <v>1032</v>
      </c>
      <c r="R86" s="232"/>
      <c r="S86" s="232" t="s">
        <v>276</v>
      </c>
      <c r="T86" s="232" t="s">
        <v>1346</v>
      </c>
      <c r="U86" s="232" t="s">
        <v>40</v>
      </c>
      <c r="V86" s="232" t="s">
        <v>1040</v>
      </c>
      <c r="W86" s="232" t="s">
        <v>46</v>
      </c>
      <c r="X86" s="232">
        <f t="shared" si="1"/>
        <v>20</v>
      </c>
    </row>
    <row r="87" spans="1:24" ht="240">
      <c r="A87" s="232" t="s">
        <v>251</v>
      </c>
      <c r="B87" s="232" t="s">
        <v>1137</v>
      </c>
      <c r="C87" s="232">
        <v>0</v>
      </c>
      <c r="D87" s="232">
        <v>0</v>
      </c>
      <c r="E87" s="232">
        <v>1</v>
      </c>
      <c r="F87" s="232">
        <v>0</v>
      </c>
      <c r="G87" s="232">
        <v>0</v>
      </c>
      <c r="H87" s="232">
        <v>0</v>
      </c>
      <c r="I87" s="232">
        <v>0</v>
      </c>
      <c r="J87" s="232">
        <v>0</v>
      </c>
      <c r="K87" s="232"/>
      <c r="L87" s="232" t="s">
        <v>1062</v>
      </c>
      <c r="M87" s="232" t="s">
        <v>1040</v>
      </c>
      <c r="N87" s="232" t="s">
        <v>1321</v>
      </c>
      <c r="O87" s="232" t="s">
        <v>1506</v>
      </c>
      <c r="P87" s="232" t="s">
        <v>1032</v>
      </c>
      <c r="Q87" s="232" t="s">
        <v>1032</v>
      </c>
      <c r="R87" s="232"/>
      <c r="S87" s="232" t="s">
        <v>278</v>
      </c>
      <c r="T87" s="232" t="s">
        <v>1346</v>
      </c>
      <c r="U87" s="232" t="s">
        <v>1062</v>
      </c>
      <c r="V87" s="232" t="s">
        <v>1040</v>
      </c>
      <c r="W87" s="232" t="s">
        <v>46</v>
      </c>
      <c r="X87" s="232">
        <f t="shared" si="1"/>
        <v>20</v>
      </c>
    </row>
    <row r="88" spans="1:24" ht="210">
      <c r="A88" s="232" t="s">
        <v>255</v>
      </c>
      <c r="B88" s="232" t="s">
        <v>1505</v>
      </c>
      <c r="C88" s="232">
        <v>0</v>
      </c>
      <c r="D88" s="232">
        <v>0</v>
      </c>
      <c r="E88" s="232">
        <v>1</v>
      </c>
      <c r="F88" s="232">
        <v>0</v>
      </c>
      <c r="G88" s="232">
        <v>0</v>
      </c>
      <c r="H88" s="232">
        <v>0</v>
      </c>
      <c r="I88" s="232">
        <v>0</v>
      </c>
      <c r="J88" s="232">
        <v>1</v>
      </c>
      <c r="K88" s="232"/>
      <c r="L88" s="232" t="s">
        <v>4</v>
      </c>
      <c r="M88" s="232" t="s">
        <v>1040</v>
      </c>
      <c r="N88" s="232" t="s">
        <v>1321</v>
      </c>
      <c r="O88" s="232" t="s">
        <v>1555</v>
      </c>
      <c r="P88" s="232" t="s">
        <v>1032</v>
      </c>
      <c r="Q88" s="232" t="s">
        <v>1032</v>
      </c>
      <c r="R88" s="232"/>
      <c r="S88" s="232" t="s">
        <v>1347</v>
      </c>
      <c r="T88" s="232" t="s">
        <v>279</v>
      </c>
      <c r="U88" s="232" t="s">
        <v>40</v>
      </c>
      <c r="V88" s="232" t="s">
        <v>1040</v>
      </c>
      <c r="W88" s="232" t="s">
        <v>46</v>
      </c>
      <c r="X88" s="232">
        <f t="shared" si="1"/>
        <v>20</v>
      </c>
    </row>
    <row r="89" spans="1:24" ht="255">
      <c r="A89" s="232" t="s">
        <v>259</v>
      </c>
      <c r="B89" s="232" t="s">
        <v>1624</v>
      </c>
      <c r="C89" s="232">
        <v>0</v>
      </c>
      <c r="D89" s="232">
        <v>0</v>
      </c>
      <c r="E89" s="232">
        <v>1</v>
      </c>
      <c r="F89" s="232">
        <v>0</v>
      </c>
      <c r="G89" s="232">
        <v>0</v>
      </c>
      <c r="H89" s="232">
        <v>0</v>
      </c>
      <c r="I89" s="232">
        <v>0</v>
      </c>
      <c r="J89" s="232">
        <v>0</v>
      </c>
      <c r="K89" s="232"/>
      <c r="L89" s="232" t="s">
        <v>4</v>
      </c>
      <c r="M89" s="232" t="s">
        <v>1040</v>
      </c>
      <c r="N89" s="232" t="s">
        <v>1321</v>
      </c>
      <c r="O89" s="232" t="s">
        <v>1032</v>
      </c>
      <c r="P89" s="232" t="s">
        <v>246</v>
      </c>
      <c r="Q89" s="232" t="s">
        <v>247</v>
      </c>
      <c r="R89" s="232"/>
      <c r="S89" s="232" t="s">
        <v>1630</v>
      </c>
      <c r="T89" s="232" t="s">
        <v>1348</v>
      </c>
      <c r="U89" s="232" t="s">
        <v>40</v>
      </c>
      <c r="V89" s="232" t="s">
        <v>1040</v>
      </c>
      <c r="W89" s="232" t="s">
        <v>75</v>
      </c>
      <c r="X89" s="232">
        <f t="shared" si="1"/>
        <v>10</v>
      </c>
    </row>
    <row r="90" spans="1:24" ht="135">
      <c r="A90" s="232" t="s">
        <v>261</v>
      </c>
      <c r="B90" s="232" t="s">
        <v>256</v>
      </c>
      <c r="C90" s="232">
        <v>0</v>
      </c>
      <c r="D90" s="232">
        <v>0</v>
      </c>
      <c r="E90" s="232">
        <v>1</v>
      </c>
      <c r="F90" s="232">
        <v>0</v>
      </c>
      <c r="G90" s="232">
        <v>0</v>
      </c>
      <c r="H90" s="232">
        <v>0</v>
      </c>
      <c r="I90" s="232">
        <v>0</v>
      </c>
      <c r="J90" s="232">
        <v>0</v>
      </c>
      <c r="K90" s="232"/>
      <c r="L90" s="232" t="s">
        <v>4</v>
      </c>
      <c r="M90" s="232" t="s">
        <v>1040</v>
      </c>
      <c r="N90" s="232" t="s">
        <v>1321</v>
      </c>
      <c r="O90" s="232" t="s">
        <v>1032</v>
      </c>
      <c r="P90" s="232" t="s">
        <v>257</v>
      </c>
      <c r="Q90" s="232" t="s">
        <v>1032</v>
      </c>
      <c r="R90" s="232"/>
      <c r="S90" s="232" t="s">
        <v>1349</v>
      </c>
      <c r="T90" s="232" t="s">
        <v>258</v>
      </c>
      <c r="U90" s="232" t="s">
        <v>40</v>
      </c>
      <c r="V90" s="232" t="s">
        <v>1040</v>
      </c>
      <c r="W90" s="232" t="s">
        <v>75</v>
      </c>
      <c r="X90" s="232">
        <f t="shared" si="1"/>
        <v>10</v>
      </c>
    </row>
    <row r="91" spans="1:24" ht="225">
      <c r="A91" s="232" t="s">
        <v>266</v>
      </c>
      <c r="B91" s="232" t="s">
        <v>1625</v>
      </c>
      <c r="C91" s="232">
        <v>0</v>
      </c>
      <c r="D91" s="232">
        <v>0</v>
      </c>
      <c r="E91" s="232">
        <v>1</v>
      </c>
      <c r="F91" s="232">
        <v>0</v>
      </c>
      <c r="G91" s="232">
        <v>0</v>
      </c>
      <c r="H91" s="232">
        <v>0</v>
      </c>
      <c r="I91" s="232">
        <v>0</v>
      </c>
      <c r="J91" s="232">
        <v>0</v>
      </c>
      <c r="K91" s="232"/>
      <c r="L91" s="232" t="s">
        <v>4</v>
      </c>
      <c r="M91" s="232" t="s">
        <v>1040</v>
      </c>
      <c r="N91" s="232" t="s">
        <v>1321</v>
      </c>
      <c r="O91" s="232" t="s">
        <v>1032</v>
      </c>
      <c r="P91" s="232" t="s">
        <v>272</v>
      </c>
      <c r="Q91" s="232" t="s">
        <v>273</v>
      </c>
      <c r="R91" s="232"/>
      <c r="S91" s="232" t="s">
        <v>1631</v>
      </c>
      <c r="T91" s="232" t="s">
        <v>1138</v>
      </c>
      <c r="U91" s="232" t="s">
        <v>40</v>
      </c>
      <c r="V91" s="232" t="s">
        <v>1040</v>
      </c>
      <c r="W91" s="232" t="s">
        <v>75</v>
      </c>
      <c r="X91" s="232">
        <f t="shared" si="1"/>
        <v>10</v>
      </c>
    </row>
    <row r="92" spans="1:24" ht="195">
      <c r="A92" s="232" t="s">
        <v>267</v>
      </c>
      <c r="B92" s="232" t="s">
        <v>1139</v>
      </c>
      <c r="C92" s="232">
        <v>0</v>
      </c>
      <c r="D92" s="232">
        <v>0</v>
      </c>
      <c r="E92" s="232">
        <v>1</v>
      </c>
      <c r="F92" s="232">
        <v>0</v>
      </c>
      <c r="G92" s="232">
        <v>0</v>
      </c>
      <c r="H92" s="232">
        <v>0</v>
      </c>
      <c r="I92" s="232">
        <v>0</v>
      </c>
      <c r="J92" s="232">
        <v>0</v>
      </c>
      <c r="K92" s="232"/>
      <c r="L92" s="232" t="s">
        <v>4</v>
      </c>
      <c r="M92" s="232" t="s">
        <v>1040</v>
      </c>
      <c r="N92" s="232" t="s">
        <v>1321</v>
      </c>
      <c r="O92" s="232" t="s">
        <v>1140</v>
      </c>
      <c r="P92" s="232" t="s">
        <v>249</v>
      </c>
      <c r="Q92" s="232" t="s">
        <v>250</v>
      </c>
      <c r="R92" s="232"/>
      <c r="S92" s="232" t="s">
        <v>225</v>
      </c>
      <c r="T92" s="232" t="s">
        <v>226</v>
      </c>
      <c r="U92" s="232" t="s">
        <v>40</v>
      </c>
      <c r="V92" s="232" t="s">
        <v>1040</v>
      </c>
      <c r="W92" s="232" t="s">
        <v>41</v>
      </c>
      <c r="X92" s="232">
        <f t="shared" si="1"/>
        <v>5</v>
      </c>
    </row>
    <row r="93" spans="1:24" ht="135">
      <c r="A93" s="232" t="s">
        <v>271</v>
      </c>
      <c r="B93" s="232" t="s">
        <v>252</v>
      </c>
      <c r="C93" s="232">
        <v>0</v>
      </c>
      <c r="D93" s="232">
        <v>0</v>
      </c>
      <c r="E93" s="232">
        <v>1</v>
      </c>
      <c r="F93" s="232">
        <v>0</v>
      </c>
      <c r="G93" s="232">
        <v>0</v>
      </c>
      <c r="H93" s="232">
        <v>0</v>
      </c>
      <c r="I93" s="232">
        <v>0</v>
      </c>
      <c r="J93" s="232">
        <v>0</v>
      </c>
      <c r="K93" s="232"/>
      <c r="L93" s="232" t="s">
        <v>4</v>
      </c>
      <c r="M93" s="232" t="s">
        <v>1040</v>
      </c>
      <c r="N93" s="232" t="s">
        <v>1321</v>
      </c>
      <c r="O93" s="232" t="s">
        <v>1032</v>
      </c>
      <c r="P93" s="232" t="s">
        <v>253</v>
      </c>
      <c r="Q93" s="232" t="s">
        <v>1032</v>
      </c>
      <c r="R93" s="232"/>
      <c r="S93" s="232" t="s">
        <v>1349</v>
      </c>
      <c r="T93" s="232" t="s">
        <v>254</v>
      </c>
      <c r="U93" s="232" t="s">
        <v>40</v>
      </c>
      <c r="V93" s="232" t="s">
        <v>1040</v>
      </c>
      <c r="W93" s="232" t="s">
        <v>41</v>
      </c>
      <c r="X93" s="232">
        <f t="shared" si="1"/>
        <v>5</v>
      </c>
    </row>
    <row r="94" spans="1:24" ht="180">
      <c r="A94" s="232" t="s">
        <v>274</v>
      </c>
      <c r="B94" s="232" t="s">
        <v>1626</v>
      </c>
      <c r="C94" s="232">
        <v>0</v>
      </c>
      <c r="D94" s="232">
        <v>0</v>
      </c>
      <c r="E94" s="232">
        <v>1</v>
      </c>
      <c r="F94" s="232">
        <v>0</v>
      </c>
      <c r="G94" s="232">
        <v>0</v>
      </c>
      <c r="H94" s="232">
        <v>0</v>
      </c>
      <c r="I94" s="232">
        <v>0</v>
      </c>
      <c r="J94" s="232">
        <v>1</v>
      </c>
      <c r="K94" s="232"/>
      <c r="L94" s="232" t="s">
        <v>4</v>
      </c>
      <c r="M94" s="232" t="s">
        <v>1040</v>
      </c>
      <c r="N94" s="232" t="s">
        <v>1321</v>
      </c>
      <c r="O94" s="232" t="s">
        <v>1032</v>
      </c>
      <c r="P94" s="232" t="s">
        <v>1141</v>
      </c>
      <c r="Q94" s="232" t="s">
        <v>1248</v>
      </c>
      <c r="R94" s="232"/>
      <c r="S94" s="232" t="s">
        <v>1632</v>
      </c>
      <c r="T94" s="232" t="s">
        <v>1350</v>
      </c>
      <c r="U94" s="232" t="s">
        <v>40</v>
      </c>
      <c r="V94" s="232" t="s">
        <v>1040</v>
      </c>
      <c r="W94" s="232" t="s">
        <v>41</v>
      </c>
      <c r="X94" s="232">
        <f t="shared" si="1"/>
        <v>5</v>
      </c>
    </row>
    <row r="95" spans="1:24" ht="60">
      <c r="A95" s="232" t="s">
        <v>277</v>
      </c>
      <c r="B95" s="232" t="s">
        <v>1142</v>
      </c>
      <c r="C95" s="232">
        <v>0</v>
      </c>
      <c r="D95" s="232">
        <v>0</v>
      </c>
      <c r="E95" s="232">
        <v>1</v>
      </c>
      <c r="F95" s="232">
        <v>0</v>
      </c>
      <c r="G95" s="232">
        <v>0</v>
      </c>
      <c r="H95" s="232">
        <v>0</v>
      </c>
      <c r="I95" s="232">
        <v>0</v>
      </c>
      <c r="J95" s="232">
        <v>1</v>
      </c>
      <c r="K95" s="232"/>
      <c r="L95" s="232" t="s">
        <v>4</v>
      </c>
      <c r="M95" s="232" t="s">
        <v>1040</v>
      </c>
      <c r="N95" s="232" t="s">
        <v>1321</v>
      </c>
      <c r="O95" s="232" t="s">
        <v>1032</v>
      </c>
      <c r="P95" s="232" t="s">
        <v>262</v>
      </c>
      <c r="Q95" s="232" t="s">
        <v>263</v>
      </c>
      <c r="R95" s="232"/>
      <c r="S95" s="232" t="s">
        <v>264</v>
      </c>
      <c r="T95" s="232" t="s">
        <v>265</v>
      </c>
      <c r="U95" s="232" t="s">
        <v>40</v>
      </c>
      <c r="V95" s="232" t="s">
        <v>1040</v>
      </c>
      <c r="W95" s="232" t="s">
        <v>41</v>
      </c>
      <c r="X95" s="232">
        <f t="shared" si="1"/>
        <v>5</v>
      </c>
    </row>
    <row r="96" spans="1:24" ht="135">
      <c r="A96" s="233" t="s">
        <v>280</v>
      </c>
      <c r="B96" s="232" t="s">
        <v>1055</v>
      </c>
      <c r="C96" s="232">
        <v>0</v>
      </c>
      <c r="D96" s="232">
        <v>1</v>
      </c>
      <c r="E96" s="232">
        <v>0</v>
      </c>
      <c r="F96" s="232">
        <v>0</v>
      </c>
      <c r="G96" s="232">
        <v>0</v>
      </c>
      <c r="H96" s="232">
        <v>0</v>
      </c>
      <c r="I96" s="232">
        <v>0</v>
      </c>
      <c r="J96" s="232">
        <v>0</v>
      </c>
      <c r="K96" s="232"/>
      <c r="L96" s="232" t="s">
        <v>131</v>
      </c>
      <c r="M96" s="232" t="s">
        <v>1040</v>
      </c>
      <c r="N96" s="232" t="s">
        <v>1032</v>
      </c>
      <c r="O96" s="232" t="s">
        <v>1032</v>
      </c>
      <c r="P96" s="232" t="s">
        <v>290</v>
      </c>
      <c r="Q96" s="232" t="s">
        <v>291</v>
      </c>
      <c r="R96" s="232"/>
      <c r="S96" s="232" t="s">
        <v>292</v>
      </c>
      <c r="T96" s="232" t="s">
        <v>1351</v>
      </c>
      <c r="U96" s="232" t="s">
        <v>40</v>
      </c>
      <c r="V96" s="232" t="s">
        <v>1040</v>
      </c>
      <c r="W96" s="232" t="s">
        <v>46</v>
      </c>
      <c r="X96" s="232">
        <f t="shared" si="1"/>
        <v>20</v>
      </c>
    </row>
    <row r="97" spans="1:24" ht="165">
      <c r="A97" s="233" t="s">
        <v>285</v>
      </c>
      <c r="B97" s="232" t="s">
        <v>1056</v>
      </c>
      <c r="C97" s="232">
        <v>0</v>
      </c>
      <c r="D97" s="232">
        <v>1</v>
      </c>
      <c r="E97" s="232">
        <v>0</v>
      </c>
      <c r="F97" s="232">
        <v>0</v>
      </c>
      <c r="G97" s="232">
        <v>0</v>
      </c>
      <c r="H97" s="232">
        <v>0</v>
      </c>
      <c r="I97" s="232">
        <v>0</v>
      </c>
      <c r="J97" s="232">
        <v>0</v>
      </c>
      <c r="K97" s="232"/>
      <c r="L97" s="232" t="s">
        <v>131</v>
      </c>
      <c r="M97" s="232" t="s">
        <v>1040</v>
      </c>
      <c r="N97" s="232" t="s">
        <v>1032</v>
      </c>
      <c r="O97" s="232" t="s">
        <v>302</v>
      </c>
      <c r="P97" s="232" t="s">
        <v>303</v>
      </c>
      <c r="Q97" s="232" t="s">
        <v>304</v>
      </c>
      <c r="R97" s="232" t="s">
        <v>1615</v>
      </c>
      <c r="S97" s="232" t="s">
        <v>1352</v>
      </c>
      <c r="T97" s="232" t="s">
        <v>1353</v>
      </c>
      <c r="U97" s="232" t="s">
        <v>40</v>
      </c>
      <c r="V97" s="232" t="s">
        <v>1040</v>
      </c>
      <c r="W97" s="232" t="s">
        <v>46</v>
      </c>
      <c r="X97" s="232">
        <f t="shared" si="1"/>
        <v>20</v>
      </c>
    </row>
    <row r="98" spans="1:24" ht="210">
      <c r="A98" s="233" t="s">
        <v>286</v>
      </c>
      <c r="B98" s="232" t="s">
        <v>1143</v>
      </c>
      <c r="C98" s="232">
        <v>0</v>
      </c>
      <c r="D98" s="232">
        <v>1</v>
      </c>
      <c r="E98" s="232">
        <v>0</v>
      </c>
      <c r="F98" s="232">
        <v>0</v>
      </c>
      <c r="G98" s="232">
        <v>0</v>
      </c>
      <c r="H98" s="232">
        <v>0</v>
      </c>
      <c r="I98" s="232">
        <v>0</v>
      </c>
      <c r="J98" s="232">
        <v>0</v>
      </c>
      <c r="K98" s="232"/>
      <c r="L98" s="232" t="s">
        <v>131</v>
      </c>
      <c r="M98" s="232" t="s">
        <v>1040</v>
      </c>
      <c r="N98" s="232" t="s">
        <v>1032</v>
      </c>
      <c r="O98" s="232" t="s">
        <v>1032</v>
      </c>
      <c r="P98" s="232" t="s">
        <v>330</v>
      </c>
      <c r="Q98" s="232" t="s">
        <v>331</v>
      </c>
      <c r="R98" s="232" t="s">
        <v>1615</v>
      </c>
      <c r="S98" s="232" t="s">
        <v>1354</v>
      </c>
      <c r="T98" s="232" t="s">
        <v>1470</v>
      </c>
      <c r="U98" s="232" t="s">
        <v>40</v>
      </c>
      <c r="V98" s="232" t="s">
        <v>1040</v>
      </c>
      <c r="W98" s="232" t="s">
        <v>46</v>
      </c>
      <c r="X98" s="232">
        <f t="shared" si="1"/>
        <v>20</v>
      </c>
    </row>
    <row r="99" spans="1:24" ht="135">
      <c r="A99" s="233" t="s">
        <v>289</v>
      </c>
      <c r="B99" s="232" t="s">
        <v>281</v>
      </c>
      <c r="C99" s="232">
        <v>0</v>
      </c>
      <c r="D99" s="232">
        <v>1</v>
      </c>
      <c r="E99" s="232">
        <v>0</v>
      </c>
      <c r="F99" s="232">
        <v>0</v>
      </c>
      <c r="G99" s="232">
        <v>0</v>
      </c>
      <c r="H99" s="232">
        <v>0</v>
      </c>
      <c r="I99" s="232">
        <v>0</v>
      </c>
      <c r="J99" s="232">
        <v>1</v>
      </c>
      <c r="K99" s="232"/>
      <c r="L99" s="232" t="s">
        <v>131</v>
      </c>
      <c r="M99" s="232" t="s">
        <v>72</v>
      </c>
      <c r="N99" s="232" t="s">
        <v>1032</v>
      </c>
      <c r="O99" s="232" t="s">
        <v>1032</v>
      </c>
      <c r="P99" s="232" t="s">
        <v>90</v>
      </c>
      <c r="Q99" s="232" t="s">
        <v>282</v>
      </c>
      <c r="R99" s="232"/>
      <c r="S99" s="232" t="s">
        <v>283</v>
      </c>
      <c r="T99" s="232" t="s">
        <v>284</v>
      </c>
      <c r="U99" s="232" t="s">
        <v>40</v>
      </c>
      <c r="V99" s="232" t="s">
        <v>1040</v>
      </c>
      <c r="W99" s="232" t="s">
        <v>75</v>
      </c>
      <c r="X99" s="232">
        <f t="shared" si="1"/>
        <v>10</v>
      </c>
    </row>
    <row r="100" spans="1:24" ht="232.5" customHeight="1">
      <c r="A100" s="233" t="s">
        <v>293</v>
      </c>
      <c r="B100" s="232" t="s">
        <v>1144</v>
      </c>
      <c r="C100" s="232">
        <v>0</v>
      </c>
      <c r="D100" s="232">
        <v>1</v>
      </c>
      <c r="E100" s="232">
        <v>0</v>
      </c>
      <c r="F100" s="232">
        <v>0</v>
      </c>
      <c r="G100" s="232">
        <v>0</v>
      </c>
      <c r="H100" s="232">
        <v>0</v>
      </c>
      <c r="I100" s="232">
        <v>0</v>
      </c>
      <c r="J100" s="232">
        <v>1</v>
      </c>
      <c r="K100" s="232"/>
      <c r="L100" s="232" t="s">
        <v>131</v>
      </c>
      <c r="M100" s="232" t="s">
        <v>1040</v>
      </c>
      <c r="N100" s="232" t="s">
        <v>1032</v>
      </c>
      <c r="O100" s="232" t="s">
        <v>1032</v>
      </c>
      <c r="P100" s="232" t="s">
        <v>1145</v>
      </c>
      <c r="Q100" s="232" t="s">
        <v>1507</v>
      </c>
      <c r="R100" s="232"/>
      <c r="S100" s="232" t="s">
        <v>1146</v>
      </c>
      <c r="T100" s="232" t="s">
        <v>1355</v>
      </c>
      <c r="U100" s="232" t="s">
        <v>40</v>
      </c>
      <c r="V100" s="232" t="s">
        <v>1040</v>
      </c>
      <c r="W100" s="232" t="s">
        <v>75</v>
      </c>
      <c r="X100" s="232">
        <f t="shared" si="1"/>
        <v>10</v>
      </c>
    </row>
    <row r="101" spans="1:24" ht="139.5" customHeight="1">
      <c r="A101" s="233" t="s">
        <v>297</v>
      </c>
      <c r="B101" s="232" t="s">
        <v>1147</v>
      </c>
      <c r="C101" s="232">
        <v>0</v>
      </c>
      <c r="D101" s="232">
        <v>1</v>
      </c>
      <c r="E101" s="232">
        <v>0</v>
      </c>
      <c r="F101" s="232">
        <v>0</v>
      </c>
      <c r="G101" s="232">
        <v>0</v>
      </c>
      <c r="H101" s="232">
        <v>0</v>
      </c>
      <c r="I101" s="232">
        <v>0</v>
      </c>
      <c r="J101" s="232">
        <v>0</v>
      </c>
      <c r="K101" s="232"/>
      <c r="L101" s="232" t="s">
        <v>131</v>
      </c>
      <c r="M101" s="232" t="s">
        <v>1040</v>
      </c>
      <c r="N101" s="232" t="s">
        <v>1032</v>
      </c>
      <c r="O101" s="232" t="s">
        <v>1032</v>
      </c>
      <c r="P101" s="232" t="s">
        <v>287</v>
      </c>
      <c r="Q101" s="232" t="s">
        <v>288</v>
      </c>
      <c r="R101" s="232"/>
      <c r="S101" s="232" t="s">
        <v>1356</v>
      </c>
      <c r="T101" s="232" t="s">
        <v>1357</v>
      </c>
      <c r="U101" s="232" t="s">
        <v>40</v>
      </c>
      <c r="V101" s="232" t="s">
        <v>1040</v>
      </c>
      <c r="W101" s="232" t="s">
        <v>75</v>
      </c>
      <c r="X101" s="232">
        <f t="shared" si="1"/>
        <v>10</v>
      </c>
    </row>
    <row r="102" spans="1:24" ht="105">
      <c r="A102" s="233" t="s">
        <v>301</v>
      </c>
      <c r="B102" s="232" t="s">
        <v>314</v>
      </c>
      <c r="C102" s="232">
        <v>0</v>
      </c>
      <c r="D102" s="232">
        <v>1</v>
      </c>
      <c r="E102" s="232">
        <v>0</v>
      </c>
      <c r="F102" s="232">
        <v>0</v>
      </c>
      <c r="G102" s="232">
        <v>0</v>
      </c>
      <c r="H102" s="232">
        <v>0</v>
      </c>
      <c r="I102" s="232">
        <v>0</v>
      </c>
      <c r="J102" s="232">
        <v>0</v>
      </c>
      <c r="K102" s="232"/>
      <c r="L102" s="232" t="s">
        <v>131</v>
      </c>
      <c r="M102" s="232" t="s">
        <v>1040</v>
      </c>
      <c r="N102" s="232" t="s">
        <v>1032</v>
      </c>
      <c r="O102" s="232" t="s">
        <v>1032</v>
      </c>
      <c r="P102" s="232" t="s">
        <v>315</v>
      </c>
      <c r="Q102" s="232" t="s">
        <v>316</v>
      </c>
      <c r="R102" s="232"/>
      <c r="S102" s="232" t="s">
        <v>1358</v>
      </c>
      <c r="T102" s="232" t="s">
        <v>1359</v>
      </c>
      <c r="U102" s="232" t="s">
        <v>40</v>
      </c>
      <c r="V102" s="232" t="s">
        <v>1040</v>
      </c>
      <c r="W102" s="232" t="s">
        <v>75</v>
      </c>
      <c r="X102" s="232">
        <f t="shared" si="1"/>
        <v>10</v>
      </c>
    </row>
    <row r="103" spans="1:24" ht="214.5" customHeight="1">
      <c r="A103" s="233" t="s">
        <v>305</v>
      </c>
      <c r="B103" s="232" t="s">
        <v>1085</v>
      </c>
      <c r="C103" s="232">
        <v>0</v>
      </c>
      <c r="D103" s="232">
        <v>1</v>
      </c>
      <c r="E103" s="232">
        <v>0</v>
      </c>
      <c r="F103" s="232">
        <v>0</v>
      </c>
      <c r="G103" s="232">
        <v>0</v>
      </c>
      <c r="H103" s="232">
        <v>0</v>
      </c>
      <c r="I103" s="232">
        <v>0</v>
      </c>
      <c r="J103" s="232">
        <v>0</v>
      </c>
      <c r="K103" s="232"/>
      <c r="L103" s="232" t="s">
        <v>131</v>
      </c>
      <c r="M103" s="232" t="s">
        <v>1040</v>
      </c>
      <c r="N103" s="232" t="s">
        <v>1032</v>
      </c>
      <c r="O103" s="232" t="s">
        <v>1032</v>
      </c>
      <c r="P103" s="232" t="s">
        <v>318</v>
      </c>
      <c r="Q103" s="232" t="s">
        <v>319</v>
      </c>
      <c r="R103" s="232"/>
      <c r="S103" s="232" t="s">
        <v>1360</v>
      </c>
      <c r="T103" s="232" t="s">
        <v>1361</v>
      </c>
      <c r="U103" s="232" t="s">
        <v>40</v>
      </c>
      <c r="V103" s="232" t="s">
        <v>1040</v>
      </c>
      <c r="W103" s="232" t="s">
        <v>75</v>
      </c>
      <c r="X103" s="232">
        <f t="shared" si="1"/>
        <v>10</v>
      </c>
    </row>
    <row r="104" spans="1:24" ht="244.5" customHeight="1">
      <c r="A104" s="233" t="s">
        <v>308</v>
      </c>
      <c r="B104" s="232" t="s">
        <v>294</v>
      </c>
      <c r="C104" s="232">
        <v>0</v>
      </c>
      <c r="D104" s="232">
        <v>1</v>
      </c>
      <c r="E104" s="232">
        <v>0</v>
      </c>
      <c r="F104" s="232">
        <v>0</v>
      </c>
      <c r="G104" s="232">
        <v>0</v>
      </c>
      <c r="H104" s="232">
        <v>0</v>
      </c>
      <c r="I104" s="232">
        <v>0</v>
      </c>
      <c r="J104" s="232">
        <v>0</v>
      </c>
      <c r="K104" s="232"/>
      <c r="L104" s="232" t="s">
        <v>131</v>
      </c>
      <c r="M104" s="232" t="s">
        <v>1040</v>
      </c>
      <c r="N104" s="232" t="s">
        <v>1032</v>
      </c>
      <c r="O104" s="232" t="s">
        <v>1032</v>
      </c>
      <c r="P104" s="232" t="s">
        <v>295</v>
      </c>
      <c r="Q104" s="232" t="s">
        <v>296</v>
      </c>
      <c r="R104" s="232"/>
      <c r="S104" s="232" t="s">
        <v>1362</v>
      </c>
      <c r="T104" s="232" t="s">
        <v>1282</v>
      </c>
      <c r="U104" s="232" t="s">
        <v>40</v>
      </c>
      <c r="V104" s="232" t="s">
        <v>1040</v>
      </c>
      <c r="W104" s="232" t="s">
        <v>41</v>
      </c>
      <c r="X104" s="232">
        <f t="shared" si="1"/>
        <v>5</v>
      </c>
    </row>
    <row r="105" spans="1:24" ht="120">
      <c r="A105" s="233" t="s">
        <v>311</v>
      </c>
      <c r="B105" s="232" t="s">
        <v>298</v>
      </c>
      <c r="C105" s="232">
        <v>0</v>
      </c>
      <c r="D105" s="232">
        <v>1</v>
      </c>
      <c r="E105" s="232">
        <v>0</v>
      </c>
      <c r="F105" s="232">
        <v>0</v>
      </c>
      <c r="G105" s="232">
        <v>0</v>
      </c>
      <c r="H105" s="232">
        <v>0</v>
      </c>
      <c r="I105" s="232">
        <v>0</v>
      </c>
      <c r="J105" s="232">
        <v>0</v>
      </c>
      <c r="K105" s="232"/>
      <c r="L105" s="232" t="s">
        <v>131</v>
      </c>
      <c r="M105" s="232" t="s">
        <v>1040</v>
      </c>
      <c r="N105" s="232" t="s">
        <v>1032</v>
      </c>
      <c r="O105" s="232" t="s">
        <v>299</v>
      </c>
      <c r="P105" s="232" t="s">
        <v>1286</v>
      </c>
      <c r="Q105" s="232" t="s">
        <v>300</v>
      </c>
      <c r="R105" s="232"/>
      <c r="S105" s="232" t="s">
        <v>1363</v>
      </c>
      <c r="T105" s="232" t="s">
        <v>1364</v>
      </c>
      <c r="U105" s="232" t="s">
        <v>40</v>
      </c>
      <c r="V105" s="232" t="s">
        <v>1040</v>
      </c>
      <c r="W105" s="232" t="s">
        <v>41</v>
      </c>
      <c r="X105" s="232">
        <f t="shared" si="1"/>
        <v>5</v>
      </c>
    </row>
    <row r="106" spans="1:24" ht="120">
      <c r="A106" s="233" t="s">
        <v>313</v>
      </c>
      <c r="B106" s="232" t="s">
        <v>306</v>
      </c>
      <c r="C106" s="232">
        <v>0</v>
      </c>
      <c r="D106" s="232">
        <v>1</v>
      </c>
      <c r="E106" s="232">
        <v>0</v>
      </c>
      <c r="F106" s="232">
        <v>0</v>
      </c>
      <c r="G106" s="232">
        <v>0</v>
      </c>
      <c r="H106" s="232">
        <v>0</v>
      </c>
      <c r="I106" s="232">
        <v>0</v>
      </c>
      <c r="J106" s="232">
        <v>0</v>
      </c>
      <c r="K106" s="232"/>
      <c r="L106" s="232" t="s">
        <v>131</v>
      </c>
      <c r="M106" s="232" t="s">
        <v>1040</v>
      </c>
      <c r="N106" s="232" t="s">
        <v>1032</v>
      </c>
      <c r="O106" s="232" t="s">
        <v>1032</v>
      </c>
      <c r="P106" s="232" t="s">
        <v>307</v>
      </c>
      <c r="Q106" s="232" t="s">
        <v>1249</v>
      </c>
      <c r="R106" s="232"/>
      <c r="S106" s="232" t="s">
        <v>1365</v>
      </c>
      <c r="T106" s="232" t="s">
        <v>1366</v>
      </c>
      <c r="U106" s="232" t="s">
        <v>40</v>
      </c>
      <c r="V106" s="232" t="s">
        <v>1040</v>
      </c>
      <c r="W106" s="232" t="s">
        <v>41</v>
      </c>
      <c r="X106" s="232">
        <f t="shared" si="1"/>
        <v>5</v>
      </c>
    </row>
    <row r="107" spans="1:24" ht="90">
      <c r="A107" s="233" t="s">
        <v>317</v>
      </c>
      <c r="B107" s="232" t="s">
        <v>1287</v>
      </c>
      <c r="C107" s="232">
        <v>0</v>
      </c>
      <c r="D107" s="232">
        <v>1</v>
      </c>
      <c r="E107" s="232">
        <v>0</v>
      </c>
      <c r="F107" s="232">
        <v>0</v>
      </c>
      <c r="G107" s="232">
        <v>0</v>
      </c>
      <c r="H107" s="232">
        <v>0</v>
      </c>
      <c r="I107" s="232">
        <v>0</v>
      </c>
      <c r="J107" s="232">
        <v>0</v>
      </c>
      <c r="K107" s="232"/>
      <c r="L107" s="232" t="s">
        <v>131</v>
      </c>
      <c r="M107" s="232" t="s">
        <v>1040</v>
      </c>
      <c r="N107" s="232" t="s">
        <v>1032</v>
      </c>
      <c r="O107" s="232" t="s">
        <v>1032</v>
      </c>
      <c r="P107" s="232" t="s">
        <v>309</v>
      </c>
      <c r="Q107" s="232" t="s">
        <v>310</v>
      </c>
      <c r="R107" s="232"/>
      <c r="S107" s="232" t="s">
        <v>1367</v>
      </c>
      <c r="T107" s="232" t="s">
        <v>1368</v>
      </c>
      <c r="U107" s="232" t="s">
        <v>40</v>
      </c>
      <c r="V107" s="232" t="s">
        <v>1040</v>
      </c>
      <c r="W107" s="232" t="s">
        <v>41</v>
      </c>
      <c r="X107" s="232">
        <f t="shared" si="1"/>
        <v>5</v>
      </c>
    </row>
    <row r="108" spans="1:24" ht="276.75" customHeight="1">
      <c r="A108" s="233" t="s">
        <v>320</v>
      </c>
      <c r="B108" s="232" t="s">
        <v>1250</v>
      </c>
      <c r="C108" s="232">
        <v>0</v>
      </c>
      <c r="D108" s="232">
        <v>1</v>
      </c>
      <c r="E108" s="232">
        <v>0</v>
      </c>
      <c r="F108" s="232">
        <v>0</v>
      </c>
      <c r="G108" s="232">
        <v>0</v>
      </c>
      <c r="H108" s="232">
        <v>0</v>
      </c>
      <c r="I108" s="232">
        <v>0</v>
      </c>
      <c r="J108" s="232">
        <v>0</v>
      </c>
      <c r="K108" s="232"/>
      <c r="L108" s="232" t="s">
        <v>131</v>
      </c>
      <c r="M108" s="232" t="s">
        <v>1040</v>
      </c>
      <c r="N108" s="232" t="s">
        <v>1032</v>
      </c>
      <c r="O108" s="232" t="s">
        <v>1032</v>
      </c>
      <c r="P108" s="232" t="s">
        <v>1251</v>
      </c>
      <c r="Q108" s="232" t="s">
        <v>1032</v>
      </c>
      <c r="R108" s="232"/>
      <c r="S108" s="232" t="s">
        <v>1369</v>
      </c>
      <c r="T108" s="232" t="s">
        <v>312</v>
      </c>
      <c r="U108" s="232" t="s">
        <v>40</v>
      </c>
      <c r="V108" s="232" t="s">
        <v>1040</v>
      </c>
      <c r="W108" s="232" t="s">
        <v>41</v>
      </c>
      <c r="X108" s="232">
        <f t="shared" si="1"/>
        <v>5</v>
      </c>
    </row>
    <row r="109" spans="1:24" ht="174" customHeight="1">
      <c r="A109" s="233" t="s">
        <v>325</v>
      </c>
      <c r="B109" s="232" t="s">
        <v>321</v>
      </c>
      <c r="C109" s="232">
        <v>0</v>
      </c>
      <c r="D109" s="232">
        <v>1</v>
      </c>
      <c r="E109" s="232">
        <v>0</v>
      </c>
      <c r="F109" s="232">
        <v>0</v>
      </c>
      <c r="G109" s="232">
        <v>0</v>
      </c>
      <c r="H109" s="232">
        <v>0</v>
      </c>
      <c r="I109" s="232">
        <v>0</v>
      </c>
      <c r="J109" s="232">
        <v>0</v>
      </c>
      <c r="K109" s="232"/>
      <c r="L109" s="232" t="s">
        <v>131</v>
      </c>
      <c r="M109" s="232" t="s">
        <v>1040</v>
      </c>
      <c r="N109" s="232" t="s">
        <v>1032</v>
      </c>
      <c r="O109" s="232" t="s">
        <v>1032</v>
      </c>
      <c r="P109" s="232" t="s">
        <v>322</v>
      </c>
      <c r="Q109" s="232" t="s">
        <v>323</v>
      </c>
      <c r="R109" s="232"/>
      <c r="S109" s="232" t="s">
        <v>324</v>
      </c>
      <c r="T109" s="232" t="s">
        <v>1355</v>
      </c>
      <c r="U109" s="232" t="s">
        <v>40</v>
      </c>
      <c r="V109" s="232" t="s">
        <v>1040</v>
      </c>
      <c r="W109" s="232" t="s">
        <v>41</v>
      </c>
      <c r="X109" s="232">
        <f t="shared" si="1"/>
        <v>5</v>
      </c>
    </row>
    <row r="110" spans="1:24" ht="150">
      <c r="A110" s="233" t="s">
        <v>329</v>
      </c>
      <c r="B110" s="232" t="s">
        <v>326</v>
      </c>
      <c r="C110" s="232">
        <v>0</v>
      </c>
      <c r="D110" s="232">
        <v>1</v>
      </c>
      <c r="E110" s="232">
        <v>0</v>
      </c>
      <c r="F110" s="232">
        <v>0</v>
      </c>
      <c r="G110" s="232">
        <v>0</v>
      </c>
      <c r="H110" s="232">
        <v>0</v>
      </c>
      <c r="I110" s="232">
        <v>0</v>
      </c>
      <c r="J110" s="232">
        <v>0</v>
      </c>
      <c r="K110" s="232"/>
      <c r="L110" s="232" t="s">
        <v>131</v>
      </c>
      <c r="M110" s="232" t="s">
        <v>1040</v>
      </c>
      <c r="N110" s="232" t="s">
        <v>1032</v>
      </c>
      <c r="O110" s="232" t="s">
        <v>1032</v>
      </c>
      <c r="P110" s="232" t="s">
        <v>327</v>
      </c>
      <c r="Q110" s="232" t="s">
        <v>328</v>
      </c>
      <c r="R110" s="232"/>
      <c r="S110" s="232" t="s">
        <v>1148</v>
      </c>
      <c r="T110" s="232" t="s">
        <v>1370</v>
      </c>
      <c r="U110" s="232" t="s">
        <v>40</v>
      </c>
      <c r="V110" s="232" t="s">
        <v>1040</v>
      </c>
      <c r="W110" s="232" t="s">
        <v>41</v>
      </c>
      <c r="X110" s="232">
        <f t="shared" si="1"/>
        <v>5</v>
      </c>
    </row>
    <row r="111" spans="1:24" ht="210">
      <c r="A111" s="233" t="s">
        <v>332</v>
      </c>
      <c r="B111" s="232" t="s">
        <v>333</v>
      </c>
      <c r="C111" s="232">
        <v>0</v>
      </c>
      <c r="D111" s="232">
        <v>1</v>
      </c>
      <c r="E111" s="232">
        <v>0</v>
      </c>
      <c r="F111" s="232">
        <v>0</v>
      </c>
      <c r="G111" s="232">
        <v>0</v>
      </c>
      <c r="H111" s="232">
        <v>0</v>
      </c>
      <c r="I111" s="232">
        <v>0</v>
      </c>
      <c r="J111" s="232">
        <v>0</v>
      </c>
      <c r="K111" s="232"/>
      <c r="L111" s="232" t="s">
        <v>131</v>
      </c>
      <c r="M111" s="232" t="s">
        <v>1040</v>
      </c>
      <c r="N111" s="232" t="s">
        <v>1032</v>
      </c>
      <c r="O111" s="232" t="s">
        <v>1032</v>
      </c>
      <c r="P111" s="232" t="s">
        <v>334</v>
      </c>
      <c r="Q111" s="232" t="s">
        <v>335</v>
      </c>
      <c r="R111" s="232"/>
      <c r="S111" s="232" t="s">
        <v>1314</v>
      </c>
      <c r="T111" s="232" t="s">
        <v>1315</v>
      </c>
      <c r="U111" s="232" t="s">
        <v>40</v>
      </c>
      <c r="V111" s="232" t="s">
        <v>1040</v>
      </c>
      <c r="W111" s="232" t="s">
        <v>41</v>
      </c>
      <c r="X111" s="232">
        <f t="shared" si="1"/>
        <v>5</v>
      </c>
    </row>
    <row r="112" spans="1:24" ht="135">
      <c r="A112" s="232" t="s">
        <v>336</v>
      </c>
      <c r="B112" s="232" t="s">
        <v>1057</v>
      </c>
      <c r="C112" s="232">
        <v>0</v>
      </c>
      <c r="D112" s="232">
        <v>0</v>
      </c>
      <c r="E112" s="232">
        <v>1</v>
      </c>
      <c r="F112" s="232">
        <v>0</v>
      </c>
      <c r="G112" s="232">
        <v>0</v>
      </c>
      <c r="H112" s="232">
        <v>0</v>
      </c>
      <c r="I112" s="232">
        <v>0</v>
      </c>
      <c r="J112" s="232">
        <v>0</v>
      </c>
      <c r="K112" s="232"/>
      <c r="L112" s="232" t="s">
        <v>4</v>
      </c>
      <c r="M112" s="232" t="s">
        <v>1040</v>
      </c>
      <c r="N112" s="232" t="s">
        <v>1321</v>
      </c>
      <c r="O112" s="232" t="s">
        <v>1032</v>
      </c>
      <c r="P112" s="232" t="s">
        <v>1032</v>
      </c>
      <c r="Q112" s="232" t="s">
        <v>341</v>
      </c>
      <c r="R112" s="232"/>
      <c r="S112" s="232" t="s">
        <v>342</v>
      </c>
      <c r="T112" s="232" t="s">
        <v>1371</v>
      </c>
      <c r="U112" s="232" t="s">
        <v>149</v>
      </c>
      <c r="V112" s="232" t="s">
        <v>1040</v>
      </c>
      <c r="W112" s="232" t="s">
        <v>46</v>
      </c>
      <c r="X112" s="232">
        <f t="shared" si="1"/>
        <v>20</v>
      </c>
    </row>
    <row r="113" spans="1:24" ht="105">
      <c r="A113" s="232" t="s">
        <v>340</v>
      </c>
      <c r="B113" s="232" t="s">
        <v>1149</v>
      </c>
      <c r="C113" s="232">
        <v>0</v>
      </c>
      <c r="D113" s="232">
        <v>0</v>
      </c>
      <c r="E113" s="232">
        <v>1</v>
      </c>
      <c r="F113" s="232">
        <v>0</v>
      </c>
      <c r="G113" s="232">
        <v>0</v>
      </c>
      <c r="H113" s="232">
        <v>0</v>
      </c>
      <c r="I113" s="232">
        <v>0</v>
      </c>
      <c r="J113" s="232">
        <v>1</v>
      </c>
      <c r="K113" s="232"/>
      <c r="L113" s="232" t="s">
        <v>4</v>
      </c>
      <c r="M113" s="232" t="s">
        <v>1040</v>
      </c>
      <c r="N113" s="232" t="s">
        <v>1321</v>
      </c>
      <c r="O113" s="232" t="s">
        <v>1032</v>
      </c>
      <c r="P113" s="232" t="s">
        <v>344</v>
      </c>
      <c r="Q113" s="232" t="s">
        <v>345</v>
      </c>
      <c r="R113" s="232"/>
      <c r="S113" s="232" t="s">
        <v>1283</v>
      </c>
      <c r="T113" s="232" t="s">
        <v>346</v>
      </c>
      <c r="U113" s="232" t="s">
        <v>40</v>
      </c>
      <c r="V113" s="232" t="s">
        <v>1040</v>
      </c>
      <c r="W113" s="232" t="s">
        <v>46</v>
      </c>
      <c r="X113" s="232">
        <f t="shared" si="1"/>
        <v>20</v>
      </c>
    </row>
    <row r="114" spans="1:24" ht="120">
      <c r="A114" s="232" t="s">
        <v>343</v>
      </c>
      <c r="B114" s="232" t="s">
        <v>1150</v>
      </c>
      <c r="C114" s="232">
        <v>0</v>
      </c>
      <c r="D114" s="232">
        <v>0</v>
      </c>
      <c r="E114" s="232">
        <v>1</v>
      </c>
      <c r="F114" s="232">
        <v>0</v>
      </c>
      <c r="G114" s="232">
        <v>0</v>
      </c>
      <c r="H114" s="232">
        <v>0</v>
      </c>
      <c r="I114" s="232">
        <v>0</v>
      </c>
      <c r="J114" s="232">
        <v>1</v>
      </c>
      <c r="K114" s="232"/>
      <c r="L114" s="232" t="s">
        <v>4</v>
      </c>
      <c r="M114" s="232" t="s">
        <v>1040</v>
      </c>
      <c r="N114" s="232" t="s">
        <v>1321</v>
      </c>
      <c r="O114" s="232" t="s">
        <v>1032</v>
      </c>
      <c r="P114" s="232" t="s">
        <v>348</v>
      </c>
      <c r="Q114" s="232" t="s">
        <v>349</v>
      </c>
      <c r="R114" s="232"/>
      <c r="S114" s="232" t="s">
        <v>350</v>
      </c>
      <c r="T114" s="232" t="s">
        <v>351</v>
      </c>
      <c r="U114" s="232" t="s">
        <v>40</v>
      </c>
      <c r="V114" s="232" t="s">
        <v>1040</v>
      </c>
      <c r="W114" s="232" t="s">
        <v>46</v>
      </c>
      <c r="X114" s="232">
        <f t="shared" si="1"/>
        <v>20</v>
      </c>
    </row>
    <row r="115" spans="1:24" ht="180">
      <c r="A115" s="232" t="s">
        <v>347</v>
      </c>
      <c r="B115" s="232" t="s">
        <v>1290</v>
      </c>
      <c r="C115" s="232">
        <v>0</v>
      </c>
      <c r="D115" s="232">
        <v>0</v>
      </c>
      <c r="E115" s="232">
        <v>1</v>
      </c>
      <c r="F115" s="232">
        <v>0</v>
      </c>
      <c r="G115" s="232">
        <v>0</v>
      </c>
      <c r="H115" s="232">
        <v>0</v>
      </c>
      <c r="I115" s="232">
        <v>0</v>
      </c>
      <c r="J115" s="232">
        <v>0</v>
      </c>
      <c r="K115" s="232"/>
      <c r="L115" s="232" t="s">
        <v>4</v>
      </c>
      <c r="M115" s="232" t="s">
        <v>1040</v>
      </c>
      <c r="N115" s="232" t="s">
        <v>1321</v>
      </c>
      <c r="O115" s="232" t="s">
        <v>1032</v>
      </c>
      <c r="P115" s="232" t="s">
        <v>353</v>
      </c>
      <c r="Q115" s="232" t="s">
        <v>354</v>
      </c>
      <c r="R115" s="232"/>
      <c r="S115" s="232" t="s">
        <v>1372</v>
      </c>
      <c r="T115" s="232" t="s">
        <v>1373</v>
      </c>
      <c r="U115" s="232" t="s">
        <v>40</v>
      </c>
      <c r="V115" s="232" t="s">
        <v>1040</v>
      </c>
      <c r="W115" s="232" t="s">
        <v>46</v>
      </c>
      <c r="X115" s="232">
        <f t="shared" si="1"/>
        <v>20</v>
      </c>
    </row>
    <row r="116" spans="1:24" ht="135">
      <c r="A116" s="232" t="s">
        <v>352</v>
      </c>
      <c r="B116" s="232" t="s">
        <v>1058</v>
      </c>
      <c r="C116" s="232">
        <v>0</v>
      </c>
      <c r="D116" s="232">
        <v>0</v>
      </c>
      <c r="E116" s="232">
        <v>1</v>
      </c>
      <c r="F116" s="232">
        <v>0</v>
      </c>
      <c r="G116" s="232">
        <v>0</v>
      </c>
      <c r="H116" s="232">
        <v>0</v>
      </c>
      <c r="I116" s="232">
        <v>0</v>
      </c>
      <c r="J116" s="232">
        <v>1</v>
      </c>
      <c r="K116" s="232"/>
      <c r="L116" s="232" t="s">
        <v>4</v>
      </c>
      <c r="M116" s="232" t="s">
        <v>1040</v>
      </c>
      <c r="N116" s="232" t="s">
        <v>1321</v>
      </c>
      <c r="O116" s="232" t="s">
        <v>1032</v>
      </c>
      <c r="P116" s="232" t="s">
        <v>358</v>
      </c>
      <c r="Q116" s="232" t="s">
        <v>356</v>
      </c>
      <c r="R116" s="232"/>
      <c r="S116" s="232" t="s">
        <v>1374</v>
      </c>
      <c r="T116" s="232" t="s">
        <v>1375</v>
      </c>
      <c r="U116" s="232" t="s">
        <v>40</v>
      </c>
      <c r="V116" s="232" t="s">
        <v>1040</v>
      </c>
      <c r="W116" s="232" t="s">
        <v>46</v>
      </c>
      <c r="X116" s="232">
        <f t="shared" si="1"/>
        <v>20</v>
      </c>
    </row>
    <row r="117" spans="1:24" ht="135">
      <c r="A117" s="232" t="s">
        <v>355</v>
      </c>
      <c r="B117" s="232" t="s">
        <v>1059</v>
      </c>
      <c r="C117" s="232">
        <v>0</v>
      </c>
      <c r="D117" s="232">
        <v>0</v>
      </c>
      <c r="E117" s="232">
        <v>1</v>
      </c>
      <c r="F117" s="232">
        <v>0</v>
      </c>
      <c r="G117" s="232">
        <v>0</v>
      </c>
      <c r="H117" s="232">
        <v>0</v>
      </c>
      <c r="I117" s="232">
        <v>0</v>
      </c>
      <c r="J117" s="232">
        <v>1</v>
      </c>
      <c r="K117" s="232"/>
      <c r="L117" s="232" t="s">
        <v>4</v>
      </c>
      <c r="M117" s="232" t="s">
        <v>1040</v>
      </c>
      <c r="N117" s="232" t="s">
        <v>1321</v>
      </c>
      <c r="O117" s="232" t="s">
        <v>1032</v>
      </c>
      <c r="P117" s="232" t="s">
        <v>368</v>
      </c>
      <c r="Q117" s="232" t="s">
        <v>369</v>
      </c>
      <c r="R117" s="232"/>
      <c r="S117" s="232" t="s">
        <v>370</v>
      </c>
      <c r="T117" s="232" t="s">
        <v>1376</v>
      </c>
      <c r="U117" s="232" t="s">
        <v>40</v>
      </c>
      <c r="V117" s="232" t="s">
        <v>1040</v>
      </c>
      <c r="W117" s="232" t="s">
        <v>46</v>
      </c>
      <c r="X117" s="232">
        <f t="shared" si="1"/>
        <v>20</v>
      </c>
    </row>
    <row r="118" spans="1:24" ht="150">
      <c r="A118" s="232" t="s">
        <v>357</v>
      </c>
      <c r="B118" s="232" t="s">
        <v>1060</v>
      </c>
      <c r="C118" s="232">
        <v>0</v>
      </c>
      <c r="D118" s="232">
        <v>0</v>
      </c>
      <c r="E118" s="232">
        <v>1</v>
      </c>
      <c r="F118" s="232">
        <v>0</v>
      </c>
      <c r="G118" s="232">
        <v>0</v>
      </c>
      <c r="H118" s="232">
        <v>0</v>
      </c>
      <c r="I118" s="232">
        <v>0</v>
      </c>
      <c r="J118" s="232">
        <v>0</v>
      </c>
      <c r="K118" s="232"/>
      <c r="L118" s="232" t="s">
        <v>4</v>
      </c>
      <c r="M118" s="232" t="s">
        <v>1040</v>
      </c>
      <c r="N118" s="232" t="s">
        <v>1321</v>
      </c>
      <c r="O118" s="232" t="s">
        <v>1032</v>
      </c>
      <c r="P118" s="232" t="s">
        <v>1032</v>
      </c>
      <c r="Q118" s="232" t="s">
        <v>390</v>
      </c>
      <c r="R118" s="232"/>
      <c r="S118" s="232" t="s">
        <v>391</v>
      </c>
      <c r="T118" s="232" t="s">
        <v>392</v>
      </c>
      <c r="U118" s="232" t="s">
        <v>149</v>
      </c>
      <c r="V118" s="232" t="s">
        <v>1040</v>
      </c>
      <c r="W118" s="232" t="s">
        <v>46</v>
      </c>
      <c r="X118" s="232">
        <f t="shared" si="1"/>
        <v>20</v>
      </c>
    </row>
    <row r="119" spans="1:24" ht="165">
      <c r="A119" s="232" t="s">
        <v>359</v>
      </c>
      <c r="B119" s="232" t="s">
        <v>1061</v>
      </c>
      <c r="C119" s="232">
        <v>0</v>
      </c>
      <c r="D119" s="232">
        <v>0</v>
      </c>
      <c r="E119" s="232">
        <v>1</v>
      </c>
      <c r="F119" s="232">
        <v>0</v>
      </c>
      <c r="G119" s="232">
        <v>0</v>
      </c>
      <c r="H119" s="232">
        <v>0</v>
      </c>
      <c r="I119" s="232">
        <v>0</v>
      </c>
      <c r="J119" s="232">
        <v>0</v>
      </c>
      <c r="K119" s="232"/>
      <c r="L119" s="232" t="s">
        <v>4</v>
      </c>
      <c r="M119" s="232" t="s">
        <v>1040</v>
      </c>
      <c r="N119" s="232" t="s">
        <v>1321</v>
      </c>
      <c r="O119" s="232" t="s">
        <v>1032</v>
      </c>
      <c r="P119" s="232" t="s">
        <v>410</v>
      </c>
      <c r="Q119" s="232" t="s">
        <v>411</v>
      </c>
      <c r="R119" s="232"/>
      <c r="S119" s="232" t="s">
        <v>404</v>
      </c>
      <c r="T119" s="232" t="s">
        <v>405</v>
      </c>
      <c r="U119" s="232" t="s">
        <v>40</v>
      </c>
      <c r="V119" s="232" t="s">
        <v>1040</v>
      </c>
      <c r="W119" s="232" t="s">
        <v>46</v>
      </c>
      <c r="X119" s="232">
        <f t="shared" si="1"/>
        <v>20</v>
      </c>
    </row>
    <row r="120" spans="1:24" ht="135">
      <c r="A120" s="232" t="s">
        <v>363</v>
      </c>
      <c r="B120" s="232" t="s">
        <v>1605</v>
      </c>
      <c r="C120" s="232">
        <v>0</v>
      </c>
      <c r="D120" s="232">
        <v>0</v>
      </c>
      <c r="E120" s="232">
        <v>1</v>
      </c>
      <c r="F120" s="232">
        <v>0</v>
      </c>
      <c r="G120" s="232">
        <v>0</v>
      </c>
      <c r="H120" s="232">
        <v>0</v>
      </c>
      <c r="I120" s="232">
        <v>0</v>
      </c>
      <c r="J120" s="232">
        <v>1</v>
      </c>
      <c r="K120" s="232"/>
      <c r="L120" s="232" t="s">
        <v>4</v>
      </c>
      <c r="M120" s="232" t="s">
        <v>1040</v>
      </c>
      <c r="N120" s="232" t="s">
        <v>1321</v>
      </c>
      <c r="O120" s="232" t="s">
        <v>1606</v>
      </c>
      <c r="P120" s="232" t="s">
        <v>1151</v>
      </c>
      <c r="Q120" s="232" t="s">
        <v>356</v>
      </c>
      <c r="R120" s="232"/>
      <c r="S120" s="232" t="s">
        <v>1377</v>
      </c>
      <c r="T120" s="232" t="s">
        <v>1375</v>
      </c>
      <c r="U120" s="232" t="s">
        <v>40</v>
      </c>
      <c r="V120" s="232" t="s">
        <v>1040</v>
      </c>
      <c r="W120" s="232" t="s">
        <v>75</v>
      </c>
      <c r="X120" s="232">
        <f t="shared" si="1"/>
        <v>10</v>
      </c>
    </row>
    <row r="121" spans="1:24" ht="150">
      <c r="A121" s="232" t="s">
        <v>367</v>
      </c>
      <c r="B121" s="232" t="s">
        <v>360</v>
      </c>
      <c r="C121" s="232">
        <v>0</v>
      </c>
      <c r="D121" s="232">
        <v>0</v>
      </c>
      <c r="E121" s="232">
        <v>1</v>
      </c>
      <c r="F121" s="232">
        <v>0</v>
      </c>
      <c r="G121" s="232">
        <v>0</v>
      </c>
      <c r="H121" s="232">
        <v>0</v>
      </c>
      <c r="I121" s="232">
        <v>0</v>
      </c>
      <c r="J121" s="232">
        <v>1</v>
      </c>
      <c r="K121" s="232"/>
      <c r="L121" s="232" t="s">
        <v>4</v>
      </c>
      <c r="M121" s="232" t="s">
        <v>1040</v>
      </c>
      <c r="N121" s="232" t="s">
        <v>1321</v>
      </c>
      <c r="O121" s="232" t="s">
        <v>1032</v>
      </c>
      <c r="P121" s="232" t="s">
        <v>361</v>
      </c>
      <c r="Q121" s="232" t="s">
        <v>362</v>
      </c>
      <c r="R121" s="232"/>
      <c r="S121" s="232" t="s">
        <v>1378</v>
      </c>
      <c r="T121" s="232" t="s">
        <v>1375</v>
      </c>
      <c r="U121" s="232" t="s">
        <v>40</v>
      </c>
      <c r="V121" s="232" t="s">
        <v>1040</v>
      </c>
      <c r="W121" s="232" t="s">
        <v>75</v>
      </c>
      <c r="X121" s="232">
        <f t="shared" si="1"/>
        <v>10</v>
      </c>
    </row>
    <row r="122" spans="1:24" ht="120">
      <c r="A122" s="232" t="s">
        <v>371</v>
      </c>
      <c r="B122" s="232" t="s">
        <v>382</v>
      </c>
      <c r="C122" s="232">
        <v>0</v>
      </c>
      <c r="D122" s="232">
        <v>0</v>
      </c>
      <c r="E122" s="232">
        <v>1</v>
      </c>
      <c r="F122" s="232">
        <v>0</v>
      </c>
      <c r="G122" s="232">
        <v>0</v>
      </c>
      <c r="H122" s="232">
        <v>0</v>
      </c>
      <c r="I122" s="232">
        <v>0</v>
      </c>
      <c r="J122" s="232">
        <v>1</v>
      </c>
      <c r="K122" s="232"/>
      <c r="L122" s="232" t="s">
        <v>4</v>
      </c>
      <c r="M122" s="232" t="s">
        <v>1040</v>
      </c>
      <c r="N122" s="232" t="s">
        <v>1321</v>
      </c>
      <c r="O122" s="232" t="s">
        <v>1032</v>
      </c>
      <c r="P122" s="232" t="s">
        <v>383</v>
      </c>
      <c r="Q122" s="232" t="s">
        <v>384</v>
      </c>
      <c r="R122" s="232"/>
      <c r="S122" s="232" t="s">
        <v>1379</v>
      </c>
      <c r="T122" s="232" t="s">
        <v>385</v>
      </c>
      <c r="U122" s="232" t="s">
        <v>40</v>
      </c>
      <c r="V122" s="232" t="s">
        <v>1040</v>
      </c>
      <c r="W122" s="232" t="s">
        <v>75</v>
      </c>
      <c r="X122" s="232">
        <f t="shared" si="1"/>
        <v>10</v>
      </c>
    </row>
    <row r="123" spans="1:24" ht="165">
      <c r="A123" s="232" t="s">
        <v>375</v>
      </c>
      <c r="B123" s="232" t="s">
        <v>1152</v>
      </c>
      <c r="C123" s="232">
        <v>0</v>
      </c>
      <c r="D123" s="232">
        <v>0</v>
      </c>
      <c r="E123" s="232">
        <v>1</v>
      </c>
      <c r="F123" s="232">
        <v>0</v>
      </c>
      <c r="G123" s="232">
        <v>0</v>
      </c>
      <c r="H123" s="232">
        <v>0</v>
      </c>
      <c r="I123" s="232">
        <v>0</v>
      </c>
      <c r="J123" s="232">
        <v>1</v>
      </c>
      <c r="K123" s="232"/>
      <c r="L123" s="232" t="s">
        <v>4</v>
      </c>
      <c r="M123" s="232" t="s">
        <v>1040</v>
      </c>
      <c r="N123" s="232" t="s">
        <v>1321</v>
      </c>
      <c r="O123" s="232" t="s">
        <v>1032</v>
      </c>
      <c r="P123" s="232" t="s">
        <v>1153</v>
      </c>
      <c r="Q123" s="232" t="s">
        <v>1154</v>
      </c>
      <c r="R123" s="232"/>
      <c r="S123" s="232" t="s">
        <v>1380</v>
      </c>
      <c r="T123" s="232" t="s">
        <v>1155</v>
      </c>
      <c r="U123" s="232" t="s">
        <v>40</v>
      </c>
      <c r="V123" s="232" t="s">
        <v>1040</v>
      </c>
      <c r="W123" s="232" t="s">
        <v>75</v>
      </c>
      <c r="X123" s="232">
        <f t="shared" si="1"/>
        <v>10</v>
      </c>
    </row>
    <row r="124" spans="1:24" ht="148.5" customHeight="1">
      <c r="A124" s="232" t="s">
        <v>381</v>
      </c>
      <c r="B124" s="232" t="s">
        <v>1156</v>
      </c>
      <c r="C124" s="232">
        <v>0</v>
      </c>
      <c r="D124" s="232">
        <v>0</v>
      </c>
      <c r="E124" s="232">
        <v>1</v>
      </c>
      <c r="F124" s="232">
        <v>0</v>
      </c>
      <c r="G124" s="232">
        <v>0</v>
      </c>
      <c r="H124" s="232">
        <v>0</v>
      </c>
      <c r="I124" s="232">
        <v>0</v>
      </c>
      <c r="J124" s="232">
        <v>1</v>
      </c>
      <c r="K124" s="232"/>
      <c r="L124" s="232" t="s">
        <v>4</v>
      </c>
      <c r="M124" s="232" t="s">
        <v>1040</v>
      </c>
      <c r="N124" s="232" t="s">
        <v>1321</v>
      </c>
      <c r="O124" s="232" t="s">
        <v>1032</v>
      </c>
      <c r="P124" s="232" t="s">
        <v>1157</v>
      </c>
      <c r="Q124" s="232" t="s">
        <v>1158</v>
      </c>
      <c r="R124" s="232"/>
      <c r="S124" s="232" t="s">
        <v>388</v>
      </c>
      <c r="T124" s="232" t="s">
        <v>1159</v>
      </c>
      <c r="U124" s="232" t="s">
        <v>40</v>
      </c>
      <c r="V124" s="232" t="s">
        <v>1040</v>
      </c>
      <c r="W124" s="232" t="s">
        <v>75</v>
      </c>
      <c r="X124" s="232">
        <f t="shared" si="1"/>
        <v>10</v>
      </c>
    </row>
    <row r="125" spans="1:24" ht="147" customHeight="1">
      <c r="A125" s="232" t="s">
        <v>386</v>
      </c>
      <c r="B125" s="232" t="s">
        <v>394</v>
      </c>
      <c r="C125" s="232">
        <v>0</v>
      </c>
      <c r="D125" s="232">
        <v>0</v>
      </c>
      <c r="E125" s="232">
        <v>1</v>
      </c>
      <c r="F125" s="232">
        <v>0</v>
      </c>
      <c r="G125" s="232">
        <v>0</v>
      </c>
      <c r="H125" s="232">
        <v>0</v>
      </c>
      <c r="I125" s="232">
        <v>0</v>
      </c>
      <c r="J125" s="232">
        <v>1</v>
      </c>
      <c r="K125" s="232"/>
      <c r="L125" s="232" t="s">
        <v>4</v>
      </c>
      <c r="M125" s="232" t="s">
        <v>1040</v>
      </c>
      <c r="N125" s="232" t="s">
        <v>1321</v>
      </c>
      <c r="O125" s="232" t="s">
        <v>1032</v>
      </c>
      <c r="P125" s="232" t="s">
        <v>395</v>
      </c>
      <c r="Q125" s="232" t="s">
        <v>396</v>
      </c>
      <c r="R125" s="232"/>
      <c r="S125" s="232" t="s">
        <v>397</v>
      </c>
      <c r="T125" s="232" t="s">
        <v>398</v>
      </c>
      <c r="U125" s="232" t="s">
        <v>40</v>
      </c>
      <c r="V125" s="232" t="s">
        <v>1040</v>
      </c>
      <c r="W125" s="232" t="s">
        <v>41</v>
      </c>
      <c r="X125" s="232">
        <f t="shared" si="1"/>
        <v>5</v>
      </c>
    </row>
    <row r="126" spans="1:24" ht="165">
      <c r="A126" s="232" t="s">
        <v>387</v>
      </c>
      <c r="B126" s="232" t="s">
        <v>1160</v>
      </c>
      <c r="C126" s="232">
        <v>0</v>
      </c>
      <c r="D126" s="232">
        <v>0</v>
      </c>
      <c r="E126" s="232">
        <v>1</v>
      </c>
      <c r="F126" s="232">
        <v>0</v>
      </c>
      <c r="G126" s="232">
        <v>0</v>
      </c>
      <c r="H126" s="232">
        <v>0</v>
      </c>
      <c r="I126" s="232">
        <v>0</v>
      </c>
      <c r="J126" s="232">
        <v>0</v>
      </c>
      <c r="K126" s="232"/>
      <c r="L126" s="232" t="s">
        <v>4</v>
      </c>
      <c r="M126" s="232" t="s">
        <v>1040</v>
      </c>
      <c r="N126" s="232" t="s">
        <v>1321</v>
      </c>
      <c r="O126" s="232" t="s">
        <v>1032</v>
      </c>
      <c r="P126" s="232" t="s">
        <v>402</v>
      </c>
      <c r="Q126" s="232" t="s">
        <v>403</v>
      </c>
      <c r="R126" s="232"/>
      <c r="S126" s="232" t="s">
        <v>404</v>
      </c>
      <c r="T126" s="232" t="s">
        <v>405</v>
      </c>
      <c r="U126" s="232" t="s">
        <v>40</v>
      </c>
      <c r="V126" s="232" t="s">
        <v>1040</v>
      </c>
      <c r="W126" s="232" t="s">
        <v>75</v>
      </c>
      <c r="X126" s="232">
        <f t="shared" si="1"/>
        <v>10</v>
      </c>
    </row>
    <row r="127" spans="1:24" ht="165">
      <c r="A127" s="232" t="s">
        <v>389</v>
      </c>
      <c r="B127" s="232" t="s">
        <v>1547</v>
      </c>
      <c r="C127" s="232">
        <v>0</v>
      </c>
      <c r="D127" s="232">
        <v>0</v>
      </c>
      <c r="E127" s="232">
        <v>1</v>
      </c>
      <c r="F127" s="232">
        <v>0</v>
      </c>
      <c r="G127" s="232">
        <v>0</v>
      </c>
      <c r="H127" s="232">
        <v>0</v>
      </c>
      <c r="I127" s="232">
        <v>0</v>
      </c>
      <c r="J127" s="232">
        <v>0</v>
      </c>
      <c r="K127" s="232"/>
      <c r="L127" s="232" t="s">
        <v>4</v>
      </c>
      <c r="M127" s="232" t="s">
        <v>1040</v>
      </c>
      <c r="N127" s="232" t="s">
        <v>1321</v>
      </c>
      <c r="O127" s="232" t="s">
        <v>1032</v>
      </c>
      <c r="P127" s="232" t="s">
        <v>407</v>
      </c>
      <c r="Q127" s="232" t="s">
        <v>1032</v>
      </c>
      <c r="R127" s="232"/>
      <c r="S127" s="232" t="s">
        <v>404</v>
      </c>
      <c r="T127" s="232" t="s">
        <v>408</v>
      </c>
      <c r="U127" s="232" t="s">
        <v>40</v>
      </c>
      <c r="V127" s="232" t="s">
        <v>1040</v>
      </c>
      <c r="W127" s="232" t="s">
        <v>75</v>
      </c>
      <c r="X127" s="232">
        <f t="shared" si="1"/>
        <v>10</v>
      </c>
    </row>
    <row r="128" spans="1:24" ht="180">
      <c r="A128" s="232" t="s">
        <v>393</v>
      </c>
      <c r="B128" s="232" t="s">
        <v>1161</v>
      </c>
      <c r="C128" s="232">
        <v>0</v>
      </c>
      <c r="D128" s="232">
        <v>0</v>
      </c>
      <c r="E128" s="232">
        <v>1</v>
      </c>
      <c r="F128" s="232">
        <v>0</v>
      </c>
      <c r="G128" s="232">
        <v>0</v>
      </c>
      <c r="H128" s="232">
        <v>0</v>
      </c>
      <c r="I128" s="232">
        <v>0</v>
      </c>
      <c r="J128" s="232">
        <v>1</v>
      </c>
      <c r="K128" s="232"/>
      <c r="L128" s="232" t="s">
        <v>4</v>
      </c>
      <c r="M128" s="232" t="s">
        <v>1040</v>
      </c>
      <c r="N128" s="232" t="s">
        <v>1321</v>
      </c>
      <c r="O128" s="232" t="s">
        <v>1032</v>
      </c>
      <c r="P128" s="232" t="s">
        <v>1032</v>
      </c>
      <c r="Q128" s="232" t="s">
        <v>417</v>
      </c>
      <c r="R128" s="232"/>
      <c r="S128" s="232" t="s">
        <v>1381</v>
      </c>
      <c r="T128" s="232" t="s">
        <v>1382</v>
      </c>
      <c r="U128" s="232" t="s">
        <v>40</v>
      </c>
      <c r="V128" s="232" t="s">
        <v>1040</v>
      </c>
      <c r="W128" s="232" t="s">
        <v>75</v>
      </c>
      <c r="X128" s="232">
        <f t="shared" si="1"/>
        <v>10</v>
      </c>
    </row>
    <row r="129" spans="1:24" ht="409" customHeight="1">
      <c r="A129" s="232" t="s">
        <v>399</v>
      </c>
      <c r="B129" s="232" t="s">
        <v>418</v>
      </c>
      <c r="C129" s="232">
        <v>0</v>
      </c>
      <c r="D129" s="232">
        <v>0</v>
      </c>
      <c r="E129" s="232">
        <v>1</v>
      </c>
      <c r="F129" s="232">
        <v>0</v>
      </c>
      <c r="G129" s="232">
        <v>0</v>
      </c>
      <c r="H129" s="232">
        <v>0</v>
      </c>
      <c r="I129" s="232">
        <v>0</v>
      </c>
      <c r="J129" s="232">
        <v>0</v>
      </c>
      <c r="K129" s="232"/>
      <c r="L129" s="232" t="s">
        <v>4</v>
      </c>
      <c r="M129" s="232" t="s">
        <v>1040</v>
      </c>
      <c r="N129" s="232" t="s">
        <v>1321</v>
      </c>
      <c r="O129" s="232" t="s">
        <v>1032</v>
      </c>
      <c r="P129" s="232" t="s">
        <v>1032</v>
      </c>
      <c r="Q129" s="232" t="s">
        <v>419</v>
      </c>
      <c r="R129" s="232"/>
      <c r="S129" s="232" t="s">
        <v>1471</v>
      </c>
      <c r="T129" s="232" t="s">
        <v>420</v>
      </c>
      <c r="U129" s="232" t="s">
        <v>40</v>
      </c>
      <c r="V129" s="232" t="s">
        <v>1040</v>
      </c>
      <c r="W129" s="232" t="s">
        <v>75</v>
      </c>
      <c r="X129" s="232">
        <f t="shared" ref="X129:X189" si="2">IF($W129="Critical Importance",20,IF($W129="Minor Importance",5,10))</f>
        <v>10</v>
      </c>
    </row>
    <row r="130" spans="1:24" ht="294" customHeight="1">
      <c r="A130" s="232" t="s">
        <v>401</v>
      </c>
      <c r="B130" s="232" t="s">
        <v>1252</v>
      </c>
      <c r="C130" s="232">
        <v>0</v>
      </c>
      <c r="D130" s="232">
        <v>0</v>
      </c>
      <c r="E130" s="232">
        <v>1</v>
      </c>
      <c r="F130" s="232">
        <v>0</v>
      </c>
      <c r="G130" s="232">
        <v>0</v>
      </c>
      <c r="H130" s="232">
        <v>0</v>
      </c>
      <c r="I130" s="232">
        <v>0</v>
      </c>
      <c r="J130" s="232">
        <v>0</v>
      </c>
      <c r="K130" s="232"/>
      <c r="L130" s="232" t="s">
        <v>4</v>
      </c>
      <c r="M130" s="232" t="s">
        <v>1040</v>
      </c>
      <c r="N130" s="232" t="s">
        <v>1321</v>
      </c>
      <c r="O130" s="232" t="s">
        <v>1032</v>
      </c>
      <c r="P130" s="232" t="s">
        <v>337</v>
      </c>
      <c r="Q130" s="232" t="s">
        <v>338</v>
      </c>
      <c r="R130" s="232"/>
      <c r="S130" s="232" t="s">
        <v>1383</v>
      </c>
      <c r="T130" s="232" t="s">
        <v>339</v>
      </c>
      <c r="U130" s="232" t="s">
        <v>40</v>
      </c>
      <c r="V130" s="232" t="s">
        <v>1040</v>
      </c>
      <c r="W130" s="232" t="s">
        <v>41</v>
      </c>
      <c r="X130" s="232">
        <f t="shared" si="2"/>
        <v>5</v>
      </c>
    </row>
    <row r="131" spans="1:24" ht="220.5" customHeight="1">
      <c r="A131" s="232" t="s">
        <v>406</v>
      </c>
      <c r="B131" s="232" t="s">
        <v>364</v>
      </c>
      <c r="C131" s="232">
        <v>0</v>
      </c>
      <c r="D131" s="232">
        <v>0</v>
      </c>
      <c r="E131" s="232">
        <v>1</v>
      </c>
      <c r="F131" s="232">
        <v>0</v>
      </c>
      <c r="G131" s="232">
        <v>0</v>
      </c>
      <c r="H131" s="232">
        <v>0</v>
      </c>
      <c r="I131" s="232">
        <v>0</v>
      </c>
      <c r="J131" s="232">
        <v>1</v>
      </c>
      <c r="K131" s="232"/>
      <c r="L131" s="232" t="s">
        <v>4</v>
      </c>
      <c r="M131" s="232" t="s">
        <v>1040</v>
      </c>
      <c r="N131" s="232" t="s">
        <v>1321</v>
      </c>
      <c r="O131" s="232" t="s">
        <v>1032</v>
      </c>
      <c r="P131" s="232" t="s">
        <v>365</v>
      </c>
      <c r="Q131" s="232" t="s">
        <v>366</v>
      </c>
      <c r="R131" s="232"/>
      <c r="S131" s="232" t="s">
        <v>1384</v>
      </c>
      <c r="T131" s="232" t="s">
        <v>1376</v>
      </c>
      <c r="U131" s="232" t="s">
        <v>40</v>
      </c>
      <c r="V131" s="232" t="s">
        <v>1040</v>
      </c>
      <c r="W131" s="232" t="s">
        <v>41</v>
      </c>
      <c r="X131" s="232">
        <f t="shared" si="2"/>
        <v>5</v>
      </c>
    </row>
    <row r="132" spans="1:24" ht="135">
      <c r="A132" s="232" t="s">
        <v>409</v>
      </c>
      <c r="B132" s="232" t="s">
        <v>372</v>
      </c>
      <c r="C132" s="232">
        <v>0</v>
      </c>
      <c r="D132" s="232">
        <v>0</v>
      </c>
      <c r="E132" s="232">
        <v>1</v>
      </c>
      <c r="F132" s="232">
        <v>0</v>
      </c>
      <c r="G132" s="232">
        <v>0</v>
      </c>
      <c r="H132" s="232">
        <v>0</v>
      </c>
      <c r="I132" s="232">
        <v>0</v>
      </c>
      <c r="J132" s="232">
        <v>1</v>
      </c>
      <c r="K132" s="232"/>
      <c r="L132" s="232" t="s">
        <v>4</v>
      </c>
      <c r="M132" s="232" t="s">
        <v>1040</v>
      </c>
      <c r="N132" s="232" t="s">
        <v>1321</v>
      </c>
      <c r="O132" s="232" t="s">
        <v>1032</v>
      </c>
      <c r="P132" s="232" t="s">
        <v>373</v>
      </c>
      <c r="Q132" s="232" t="s">
        <v>374</v>
      </c>
      <c r="R132" s="232"/>
      <c r="S132" s="232" t="s">
        <v>370</v>
      </c>
      <c r="T132" s="232" t="s">
        <v>1376</v>
      </c>
      <c r="U132" s="232" t="s">
        <v>40</v>
      </c>
      <c r="V132" s="232" t="s">
        <v>1040</v>
      </c>
      <c r="W132" s="232" t="s">
        <v>41</v>
      </c>
      <c r="X132" s="232">
        <f t="shared" si="2"/>
        <v>5</v>
      </c>
    </row>
    <row r="133" spans="1:24" ht="180">
      <c r="A133" s="232" t="s">
        <v>412</v>
      </c>
      <c r="B133" s="232" t="s">
        <v>376</v>
      </c>
      <c r="C133" s="232">
        <v>0</v>
      </c>
      <c r="D133" s="232">
        <v>0</v>
      </c>
      <c r="E133" s="232">
        <v>1</v>
      </c>
      <c r="F133" s="232">
        <v>0</v>
      </c>
      <c r="G133" s="232">
        <v>0</v>
      </c>
      <c r="H133" s="232">
        <v>0</v>
      </c>
      <c r="I133" s="232">
        <v>0</v>
      </c>
      <c r="J133" s="232">
        <v>1</v>
      </c>
      <c r="K133" s="232"/>
      <c r="L133" s="232" t="s">
        <v>4</v>
      </c>
      <c r="M133" s="232" t="s">
        <v>1040</v>
      </c>
      <c r="N133" s="232" t="s">
        <v>1321</v>
      </c>
      <c r="O133" s="232" t="s">
        <v>377</v>
      </c>
      <c r="P133" s="232" t="s">
        <v>378</v>
      </c>
      <c r="Q133" s="232" t="s">
        <v>379</v>
      </c>
      <c r="R133" s="232"/>
      <c r="S133" s="232" t="s">
        <v>380</v>
      </c>
      <c r="T133" s="232" t="s">
        <v>1385</v>
      </c>
      <c r="U133" s="232" t="s">
        <v>40</v>
      </c>
      <c r="V133" s="232" t="s">
        <v>1040</v>
      </c>
      <c r="W133" s="232" t="s">
        <v>41</v>
      </c>
      <c r="X133" s="232">
        <f t="shared" si="2"/>
        <v>5</v>
      </c>
    </row>
    <row r="134" spans="1:24" ht="240">
      <c r="A134" s="232" t="s">
        <v>416</v>
      </c>
      <c r="B134" s="232" t="s">
        <v>1162</v>
      </c>
      <c r="C134" s="232">
        <v>0</v>
      </c>
      <c r="D134" s="232">
        <v>0</v>
      </c>
      <c r="E134" s="232">
        <v>1</v>
      </c>
      <c r="F134" s="232">
        <v>0</v>
      </c>
      <c r="G134" s="232">
        <v>0</v>
      </c>
      <c r="H134" s="232">
        <v>0</v>
      </c>
      <c r="I134" s="232">
        <v>0</v>
      </c>
      <c r="J134" s="232">
        <v>0</v>
      </c>
      <c r="K134" s="232"/>
      <c r="L134" s="232" t="s">
        <v>4</v>
      </c>
      <c r="M134" s="232" t="s">
        <v>1040</v>
      </c>
      <c r="N134" s="232" t="s">
        <v>1321</v>
      </c>
      <c r="O134" s="232" t="s">
        <v>400</v>
      </c>
      <c r="P134" s="232"/>
      <c r="Q134" s="232"/>
      <c r="R134" s="232"/>
      <c r="S134" s="232" t="s">
        <v>1386</v>
      </c>
      <c r="T134" s="232" t="s">
        <v>1387</v>
      </c>
      <c r="U134" s="232" t="s">
        <v>40</v>
      </c>
      <c r="V134" s="232" t="s">
        <v>1040</v>
      </c>
      <c r="W134" s="232" t="s">
        <v>41</v>
      </c>
      <c r="X134" s="232">
        <f t="shared" si="2"/>
        <v>5</v>
      </c>
    </row>
    <row r="135" spans="1:24" ht="270">
      <c r="A135" s="233" t="s">
        <v>421</v>
      </c>
      <c r="B135" s="232" t="s">
        <v>422</v>
      </c>
      <c r="C135" s="232">
        <v>0</v>
      </c>
      <c r="D135" s="232">
        <v>0</v>
      </c>
      <c r="E135" s="232">
        <v>0</v>
      </c>
      <c r="F135" s="232">
        <v>1</v>
      </c>
      <c r="G135" s="232">
        <v>0</v>
      </c>
      <c r="H135" s="232">
        <v>0</v>
      </c>
      <c r="I135" s="232">
        <v>0</v>
      </c>
      <c r="J135" s="232">
        <v>1</v>
      </c>
      <c r="K135" s="232"/>
      <c r="L135" s="232" t="s">
        <v>1062</v>
      </c>
      <c r="M135" s="232" t="s">
        <v>1040</v>
      </c>
      <c r="N135" s="232" t="s">
        <v>1388</v>
      </c>
      <c r="O135" s="232" t="s">
        <v>423</v>
      </c>
      <c r="P135" s="232" t="s">
        <v>1032</v>
      </c>
      <c r="Q135" s="232" t="s">
        <v>1032</v>
      </c>
      <c r="R135" s="232"/>
      <c r="S135" s="232" t="s">
        <v>424</v>
      </c>
      <c r="T135" s="232" t="s">
        <v>425</v>
      </c>
      <c r="U135" s="232" t="s">
        <v>1062</v>
      </c>
      <c r="V135" s="232" t="s">
        <v>1040</v>
      </c>
      <c r="W135" s="232"/>
      <c r="X135" s="232">
        <f t="shared" si="2"/>
        <v>10</v>
      </c>
    </row>
    <row r="136" spans="1:24" ht="384">
      <c r="A136" s="232" t="s">
        <v>426</v>
      </c>
      <c r="B136" s="232" t="s">
        <v>1541</v>
      </c>
      <c r="C136" s="232">
        <v>0</v>
      </c>
      <c r="D136" s="232">
        <v>0</v>
      </c>
      <c r="E136" s="232">
        <v>0</v>
      </c>
      <c r="F136" s="232">
        <v>1</v>
      </c>
      <c r="G136" s="232">
        <v>0</v>
      </c>
      <c r="H136" s="232">
        <v>0</v>
      </c>
      <c r="I136" s="232">
        <v>0</v>
      </c>
      <c r="J136" s="232">
        <v>0</v>
      </c>
      <c r="K136" s="232"/>
      <c r="L136" s="232" t="s">
        <v>165</v>
      </c>
      <c r="M136" s="232" t="s">
        <v>1040</v>
      </c>
      <c r="N136" s="232" t="s">
        <v>1032</v>
      </c>
      <c r="O136" s="232" t="s">
        <v>1032</v>
      </c>
      <c r="P136" s="232" t="s">
        <v>1032</v>
      </c>
      <c r="Q136" s="232" t="s">
        <v>427</v>
      </c>
      <c r="R136" s="232"/>
      <c r="S136" s="232" t="s">
        <v>1389</v>
      </c>
      <c r="T136" s="232" t="s">
        <v>1390</v>
      </c>
      <c r="U136" s="232" t="s">
        <v>40</v>
      </c>
      <c r="V136" s="232" t="s">
        <v>1040</v>
      </c>
      <c r="W136" s="232" t="s">
        <v>75</v>
      </c>
      <c r="X136" s="232">
        <f t="shared" si="2"/>
        <v>10</v>
      </c>
    </row>
    <row r="137" spans="1:24" ht="339.75" customHeight="1">
      <c r="A137" s="233" t="s">
        <v>428</v>
      </c>
      <c r="B137" s="232" t="s">
        <v>1163</v>
      </c>
      <c r="C137" s="232">
        <v>0</v>
      </c>
      <c r="D137" s="232">
        <v>0</v>
      </c>
      <c r="E137" s="232">
        <v>0</v>
      </c>
      <c r="F137" s="232">
        <v>1</v>
      </c>
      <c r="G137" s="232">
        <v>0</v>
      </c>
      <c r="H137" s="232">
        <v>0</v>
      </c>
      <c r="I137" s="232">
        <v>0</v>
      </c>
      <c r="J137" s="232">
        <v>1</v>
      </c>
      <c r="K137" s="232"/>
      <c r="L137" s="232" t="s">
        <v>165</v>
      </c>
      <c r="M137" s="232" t="s">
        <v>1040</v>
      </c>
      <c r="N137" s="232" t="s">
        <v>1032</v>
      </c>
      <c r="O137" s="232" t="s">
        <v>429</v>
      </c>
      <c r="P137" s="232" t="s">
        <v>430</v>
      </c>
      <c r="Q137" s="232" t="s">
        <v>1032</v>
      </c>
      <c r="R137" s="232"/>
      <c r="S137" s="232" t="s">
        <v>1391</v>
      </c>
      <c r="T137" s="232" t="s">
        <v>1392</v>
      </c>
      <c r="U137" s="232" t="s">
        <v>40</v>
      </c>
      <c r="V137" s="232" t="s">
        <v>1040</v>
      </c>
      <c r="W137" s="232" t="s">
        <v>75</v>
      </c>
      <c r="X137" s="232">
        <f t="shared" si="2"/>
        <v>10</v>
      </c>
    </row>
    <row r="138" spans="1:24" ht="186" customHeight="1">
      <c r="A138" s="232" t="s">
        <v>431</v>
      </c>
      <c r="B138" s="232" t="s">
        <v>432</v>
      </c>
      <c r="C138" s="232">
        <v>0</v>
      </c>
      <c r="D138" s="232">
        <v>0</v>
      </c>
      <c r="E138" s="232">
        <v>0</v>
      </c>
      <c r="F138" s="232">
        <v>1</v>
      </c>
      <c r="G138" s="232">
        <v>0</v>
      </c>
      <c r="H138" s="232">
        <v>0</v>
      </c>
      <c r="I138" s="232">
        <v>0</v>
      </c>
      <c r="J138" s="232">
        <v>0</v>
      </c>
      <c r="K138" s="232"/>
      <c r="L138" s="232" t="s">
        <v>165</v>
      </c>
      <c r="M138" s="232" t="s">
        <v>1040</v>
      </c>
      <c r="N138" s="232" t="s">
        <v>1032</v>
      </c>
      <c r="O138" s="232" t="s">
        <v>1032</v>
      </c>
      <c r="P138" s="232" t="s">
        <v>433</v>
      </c>
      <c r="Q138" s="232" t="s">
        <v>434</v>
      </c>
      <c r="R138" s="232"/>
      <c r="S138" s="232" t="s">
        <v>1472</v>
      </c>
      <c r="T138" s="232" t="s">
        <v>435</v>
      </c>
      <c r="U138" s="232" t="s">
        <v>40</v>
      </c>
      <c r="V138" s="232" t="s">
        <v>1040</v>
      </c>
      <c r="W138" s="232" t="s">
        <v>75</v>
      </c>
      <c r="X138" s="232">
        <f t="shared" si="2"/>
        <v>10</v>
      </c>
    </row>
    <row r="139" spans="1:24" ht="180">
      <c r="A139" s="233" t="s">
        <v>436</v>
      </c>
      <c r="B139" s="232" t="s">
        <v>1546</v>
      </c>
      <c r="C139" s="232">
        <v>0</v>
      </c>
      <c r="D139" s="232">
        <v>0</v>
      </c>
      <c r="E139" s="232">
        <v>0</v>
      </c>
      <c r="F139" s="232">
        <v>1</v>
      </c>
      <c r="G139" s="232">
        <v>0</v>
      </c>
      <c r="H139" s="232">
        <v>0</v>
      </c>
      <c r="I139" s="232">
        <v>0</v>
      </c>
      <c r="J139" s="232">
        <v>0</v>
      </c>
      <c r="K139" s="232"/>
      <c r="L139" s="232" t="s">
        <v>165</v>
      </c>
      <c r="M139" s="232" t="s">
        <v>1040</v>
      </c>
      <c r="N139" s="232" t="s">
        <v>1032</v>
      </c>
      <c r="O139" s="232" t="s">
        <v>1032</v>
      </c>
      <c r="P139" s="232" t="s">
        <v>1164</v>
      </c>
      <c r="Q139" s="232" t="s">
        <v>437</v>
      </c>
      <c r="R139" s="232"/>
      <c r="S139" s="232" t="s">
        <v>1393</v>
      </c>
      <c r="T139" s="232" t="s">
        <v>438</v>
      </c>
      <c r="U139" s="232" t="s">
        <v>40</v>
      </c>
      <c r="V139" s="232" t="s">
        <v>1040</v>
      </c>
      <c r="W139" s="232" t="s">
        <v>75</v>
      </c>
      <c r="X139" s="232">
        <f t="shared" si="2"/>
        <v>10</v>
      </c>
    </row>
    <row r="140" spans="1:24" ht="180">
      <c r="A140" s="232" t="s">
        <v>439</v>
      </c>
      <c r="B140" s="232" t="s">
        <v>1063</v>
      </c>
      <c r="C140" s="232">
        <v>0</v>
      </c>
      <c r="D140" s="232">
        <v>0</v>
      </c>
      <c r="E140" s="232">
        <v>0</v>
      </c>
      <c r="F140" s="232">
        <v>1</v>
      </c>
      <c r="G140" s="232">
        <v>0</v>
      </c>
      <c r="H140" s="232">
        <v>0</v>
      </c>
      <c r="I140" s="232">
        <v>0</v>
      </c>
      <c r="J140" s="232">
        <v>0</v>
      </c>
      <c r="K140" s="232"/>
      <c r="L140" s="232" t="s">
        <v>165</v>
      </c>
      <c r="M140" s="232" t="s">
        <v>1040</v>
      </c>
      <c r="N140" s="232" t="s">
        <v>1032</v>
      </c>
      <c r="O140" s="232" t="s">
        <v>1032</v>
      </c>
      <c r="P140" s="232" t="s">
        <v>440</v>
      </c>
      <c r="Q140" s="232" t="s">
        <v>1032</v>
      </c>
      <c r="R140" s="232"/>
      <c r="S140" s="232" t="s">
        <v>1393</v>
      </c>
      <c r="T140" s="232" t="s">
        <v>438</v>
      </c>
      <c r="U140" s="232" t="s">
        <v>40</v>
      </c>
      <c r="V140" s="232" t="s">
        <v>1040</v>
      </c>
      <c r="W140" s="232" t="s">
        <v>46</v>
      </c>
      <c r="X140" s="232">
        <f t="shared" si="2"/>
        <v>20</v>
      </c>
    </row>
    <row r="141" spans="1:24" ht="214.5" customHeight="1">
      <c r="A141" s="233" t="s">
        <v>441</v>
      </c>
      <c r="B141" s="232" t="s">
        <v>442</v>
      </c>
      <c r="C141" s="232">
        <v>0</v>
      </c>
      <c r="D141" s="232">
        <v>0</v>
      </c>
      <c r="E141" s="232">
        <v>0</v>
      </c>
      <c r="F141" s="232">
        <v>1</v>
      </c>
      <c r="G141" s="232">
        <v>0</v>
      </c>
      <c r="H141" s="232">
        <v>0</v>
      </c>
      <c r="I141" s="232">
        <v>0</v>
      </c>
      <c r="J141" s="232">
        <v>0</v>
      </c>
      <c r="K141" s="232"/>
      <c r="L141" s="232" t="s">
        <v>165</v>
      </c>
      <c r="M141" s="232" t="s">
        <v>1040</v>
      </c>
      <c r="N141" s="232" t="s">
        <v>1032</v>
      </c>
      <c r="O141" s="232" t="s">
        <v>1032</v>
      </c>
      <c r="P141" s="232" t="s">
        <v>443</v>
      </c>
      <c r="Q141" s="232" t="s">
        <v>444</v>
      </c>
      <c r="R141" s="232"/>
      <c r="S141" s="232" t="s">
        <v>1394</v>
      </c>
      <c r="T141" s="232" t="s">
        <v>445</v>
      </c>
      <c r="U141" s="232" t="s">
        <v>40</v>
      </c>
      <c r="V141" s="232" t="s">
        <v>1040</v>
      </c>
      <c r="W141" s="232" t="s">
        <v>75</v>
      </c>
      <c r="X141" s="232">
        <f t="shared" si="2"/>
        <v>10</v>
      </c>
    </row>
    <row r="142" spans="1:24" ht="75">
      <c r="A142" s="232" t="s">
        <v>446</v>
      </c>
      <c r="B142" s="232" t="s">
        <v>449</v>
      </c>
      <c r="C142" s="232">
        <v>0</v>
      </c>
      <c r="D142" s="232">
        <v>0</v>
      </c>
      <c r="E142" s="232">
        <v>0</v>
      </c>
      <c r="F142" s="232">
        <v>1</v>
      </c>
      <c r="G142" s="232">
        <v>0</v>
      </c>
      <c r="H142" s="232">
        <v>0</v>
      </c>
      <c r="I142" s="232">
        <v>0</v>
      </c>
      <c r="J142" s="232">
        <v>0</v>
      </c>
      <c r="K142" s="232"/>
      <c r="L142" s="232" t="s">
        <v>165</v>
      </c>
      <c r="M142" s="232" t="s">
        <v>1040</v>
      </c>
      <c r="N142" s="232" t="s">
        <v>1032</v>
      </c>
      <c r="O142" s="232" t="s">
        <v>1032</v>
      </c>
      <c r="P142" s="232" t="s">
        <v>450</v>
      </c>
      <c r="Q142" s="232" t="s">
        <v>451</v>
      </c>
      <c r="R142" s="232"/>
      <c r="S142" s="232" t="s">
        <v>452</v>
      </c>
      <c r="T142" s="232" t="s">
        <v>1395</v>
      </c>
      <c r="U142" s="232" t="s">
        <v>40</v>
      </c>
      <c r="V142" s="232" t="s">
        <v>1040</v>
      </c>
      <c r="W142" s="232" t="s">
        <v>75</v>
      </c>
      <c r="X142" s="232">
        <f t="shared" si="2"/>
        <v>10</v>
      </c>
    </row>
    <row r="143" spans="1:24" ht="75">
      <c r="A143" s="233" t="s">
        <v>447</v>
      </c>
      <c r="B143" s="232" t="s">
        <v>454</v>
      </c>
      <c r="C143" s="232">
        <v>0</v>
      </c>
      <c r="D143" s="232">
        <v>0</v>
      </c>
      <c r="E143" s="232">
        <v>0</v>
      </c>
      <c r="F143" s="232">
        <v>1</v>
      </c>
      <c r="G143" s="232">
        <v>0</v>
      </c>
      <c r="H143" s="232">
        <v>0</v>
      </c>
      <c r="I143" s="232">
        <v>0</v>
      </c>
      <c r="J143" s="232">
        <v>0</v>
      </c>
      <c r="K143" s="232"/>
      <c r="L143" s="232" t="s">
        <v>165</v>
      </c>
      <c r="M143" s="232" t="s">
        <v>1040</v>
      </c>
      <c r="N143" s="232" t="s">
        <v>1032</v>
      </c>
      <c r="O143" s="232" t="s">
        <v>1032</v>
      </c>
      <c r="P143" s="232" t="s">
        <v>455</v>
      </c>
      <c r="Q143" s="232" t="s">
        <v>1165</v>
      </c>
      <c r="R143" s="232"/>
      <c r="S143" s="232" t="s">
        <v>452</v>
      </c>
      <c r="T143" s="232" t="s">
        <v>1395</v>
      </c>
      <c r="U143" s="232" t="s">
        <v>40</v>
      </c>
      <c r="V143" s="232" t="s">
        <v>1040</v>
      </c>
      <c r="W143" s="232" t="s">
        <v>75</v>
      </c>
      <c r="X143" s="232">
        <f t="shared" si="2"/>
        <v>10</v>
      </c>
    </row>
    <row r="144" spans="1:24" ht="192.75" customHeight="1">
      <c r="A144" s="232" t="s">
        <v>448</v>
      </c>
      <c r="B144" s="232" t="s">
        <v>1064</v>
      </c>
      <c r="C144" s="232">
        <v>0</v>
      </c>
      <c r="D144" s="232">
        <v>0</v>
      </c>
      <c r="E144" s="232">
        <v>0</v>
      </c>
      <c r="F144" s="232">
        <v>1</v>
      </c>
      <c r="G144" s="232">
        <v>0</v>
      </c>
      <c r="H144" s="232">
        <v>0</v>
      </c>
      <c r="I144" s="232">
        <v>0</v>
      </c>
      <c r="J144" s="232">
        <v>0</v>
      </c>
      <c r="K144" s="232"/>
      <c r="L144" s="232" t="s">
        <v>165</v>
      </c>
      <c r="M144" s="232" t="s">
        <v>1040</v>
      </c>
      <c r="N144" s="232" t="s">
        <v>1032</v>
      </c>
      <c r="O144" s="232" t="s">
        <v>1032</v>
      </c>
      <c r="P144" s="232" t="s">
        <v>457</v>
      </c>
      <c r="Q144" s="232" t="s">
        <v>458</v>
      </c>
      <c r="R144" s="232"/>
      <c r="S144" s="232" t="s">
        <v>1166</v>
      </c>
      <c r="T144" s="232" t="s">
        <v>459</v>
      </c>
      <c r="U144" s="232" t="s">
        <v>40</v>
      </c>
      <c r="V144" s="232" t="s">
        <v>1040</v>
      </c>
      <c r="W144" s="232" t="s">
        <v>46</v>
      </c>
      <c r="X144" s="232">
        <f t="shared" si="2"/>
        <v>20</v>
      </c>
    </row>
    <row r="145" spans="1:24" ht="135">
      <c r="A145" s="233" t="s">
        <v>453</v>
      </c>
      <c r="B145" s="232" t="s">
        <v>1553</v>
      </c>
      <c r="C145" s="232">
        <v>0</v>
      </c>
      <c r="D145" s="232">
        <v>0</v>
      </c>
      <c r="E145" s="232">
        <v>0</v>
      </c>
      <c r="F145" s="232">
        <v>1</v>
      </c>
      <c r="G145" s="232">
        <v>0</v>
      </c>
      <c r="H145" s="232">
        <v>0</v>
      </c>
      <c r="I145" s="232">
        <v>0</v>
      </c>
      <c r="J145" s="232">
        <v>0</v>
      </c>
      <c r="K145" s="232"/>
      <c r="L145" s="232" t="s">
        <v>165</v>
      </c>
      <c r="M145" s="232" t="s">
        <v>1040</v>
      </c>
      <c r="N145" s="232" t="s">
        <v>1032</v>
      </c>
      <c r="O145" s="232"/>
      <c r="P145" s="232" t="s">
        <v>1032</v>
      </c>
      <c r="Q145" s="232" t="s">
        <v>1032</v>
      </c>
      <c r="R145" s="232"/>
      <c r="S145" s="232" t="s">
        <v>1167</v>
      </c>
      <c r="T145" s="232" t="s">
        <v>461</v>
      </c>
      <c r="U145" s="232" t="s">
        <v>40</v>
      </c>
      <c r="V145" s="232" t="s">
        <v>1040</v>
      </c>
      <c r="W145" s="232" t="s">
        <v>75</v>
      </c>
      <c r="X145" s="232">
        <f t="shared" si="2"/>
        <v>10</v>
      </c>
    </row>
    <row r="146" spans="1:24" ht="75">
      <c r="A146" s="232" t="s">
        <v>456</v>
      </c>
      <c r="B146" s="232" t="s">
        <v>463</v>
      </c>
      <c r="C146" s="232">
        <v>0</v>
      </c>
      <c r="D146" s="232">
        <v>0</v>
      </c>
      <c r="E146" s="232">
        <v>0</v>
      </c>
      <c r="F146" s="232">
        <v>1</v>
      </c>
      <c r="G146" s="232">
        <v>0</v>
      </c>
      <c r="H146" s="232">
        <v>0</v>
      </c>
      <c r="I146" s="232">
        <v>0</v>
      </c>
      <c r="J146" s="232">
        <v>0</v>
      </c>
      <c r="K146" s="232"/>
      <c r="L146" s="232" t="s">
        <v>165</v>
      </c>
      <c r="M146" s="232" t="s">
        <v>1040</v>
      </c>
      <c r="N146" s="232" t="s">
        <v>1032</v>
      </c>
      <c r="O146" s="232" t="s">
        <v>464</v>
      </c>
      <c r="P146" s="232" t="s">
        <v>1032</v>
      </c>
      <c r="Q146" s="232" t="s">
        <v>465</v>
      </c>
      <c r="R146" s="232"/>
      <c r="S146" s="232" t="s">
        <v>452</v>
      </c>
      <c r="T146" s="232" t="s">
        <v>1395</v>
      </c>
      <c r="U146" s="232" t="s">
        <v>40</v>
      </c>
      <c r="V146" s="232" t="s">
        <v>1040</v>
      </c>
      <c r="W146" s="232" t="s">
        <v>75</v>
      </c>
      <c r="X146" s="232">
        <f t="shared" si="2"/>
        <v>10</v>
      </c>
    </row>
    <row r="147" spans="1:24" ht="75">
      <c r="A147" s="233" t="s">
        <v>460</v>
      </c>
      <c r="B147" s="232" t="s">
        <v>467</v>
      </c>
      <c r="C147" s="232">
        <v>0</v>
      </c>
      <c r="D147" s="232">
        <v>0</v>
      </c>
      <c r="E147" s="232">
        <v>0</v>
      </c>
      <c r="F147" s="232">
        <v>1</v>
      </c>
      <c r="G147" s="232">
        <v>0</v>
      </c>
      <c r="H147" s="232">
        <v>0</v>
      </c>
      <c r="I147" s="232">
        <v>0</v>
      </c>
      <c r="J147" s="232">
        <v>0</v>
      </c>
      <c r="K147" s="232"/>
      <c r="L147" s="232" t="s">
        <v>165</v>
      </c>
      <c r="M147" s="232" t="s">
        <v>1040</v>
      </c>
      <c r="N147" s="232" t="s">
        <v>1032</v>
      </c>
      <c r="O147" s="232" t="s">
        <v>1032</v>
      </c>
      <c r="P147" s="232" t="s">
        <v>468</v>
      </c>
      <c r="Q147" s="232" t="s">
        <v>469</v>
      </c>
      <c r="R147" s="232"/>
      <c r="S147" s="232" t="s">
        <v>452</v>
      </c>
      <c r="T147" s="232" t="s">
        <v>1395</v>
      </c>
      <c r="U147" s="232" t="s">
        <v>40</v>
      </c>
      <c r="V147" s="232" t="s">
        <v>1040</v>
      </c>
      <c r="W147" s="232" t="s">
        <v>75</v>
      </c>
      <c r="X147" s="232">
        <f t="shared" si="2"/>
        <v>10</v>
      </c>
    </row>
    <row r="148" spans="1:24" ht="120">
      <c r="A148" s="232" t="s">
        <v>462</v>
      </c>
      <c r="B148" s="232" t="s">
        <v>1542</v>
      </c>
      <c r="C148" s="232">
        <v>0</v>
      </c>
      <c r="D148" s="232">
        <v>0</v>
      </c>
      <c r="E148" s="232">
        <v>0</v>
      </c>
      <c r="F148" s="232">
        <v>1</v>
      </c>
      <c r="G148" s="232">
        <v>0</v>
      </c>
      <c r="H148" s="232">
        <v>0</v>
      </c>
      <c r="I148" s="232">
        <v>0</v>
      </c>
      <c r="J148" s="232">
        <v>0</v>
      </c>
      <c r="K148" s="232"/>
      <c r="L148" s="232" t="s">
        <v>165</v>
      </c>
      <c r="M148" s="232" t="s">
        <v>1040</v>
      </c>
      <c r="N148" s="232" t="s">
        <v>1032</v>
      </c>
      <c r="O148" s="232" t="s">
        <v>1032</v>
      </c>
      <c r="P148" s="232" t="s">
        <v>471</v>
      </c>
      <c r="Q148" s="232" t="s">
        <v>472</v>
      </c>
      <c r="R148" s="232"/>
      <c r="S148" s="232" t="s">
        <v>260</v>
      </c>
      <c r="T148" s="232" t="s">
        <v>1350</v>
      </c>
      <c r="U148" s="232" t="s">
        <v>40</v>
      </c>
      <c r="V148" s="232" t="s">
        <v>1040</v>
      </c>
      <c r="W148" s="232" t="s">
        <v>75</v>
      </c>
      <c r="X148" s="232">
        <f t="shared" si="2"/>
        <v>10</v>
      </c>
    </row>
    <row r="149" spans="1:24" ht="60">
      <c r="A149" s="233" t="s">
        <v>466</v>
      </c>
      <c r="B149" s="232" t="s">
        <v>1168</v>
      </c>
      <c r="C149" s="232">
        <v>0</v>
      </c>
      <c r="D149" s="232">
        <v>0</v>
      </c>
      <c r="E149" s="232">
        <v>0</v>
      </c>
      <c r="F149" s="232">
        <v>1</v>
      </c>
      <c r="G149" s="232">
        <v>0</v>
      </c>
      <c r="H149" s="232">
        <v>0</v>
      </c>
      <c r="I149" s="232">
        <v>0</v>
      </c>
      <c r="J149" s="232">
        <v>0</v>
      </c>
      <c r="K149" s="232"/>
      <c r="L149" s="232" t="s">
        <v>165</v>
      </c>
      <c r="M149" s="232" t="s">
        <v>1040</v>
      </c>
      <c r="N149" s="232" t="s">
        <v>1032</v>
      </c>
      <c r="O149" s="232" t="s">
        <v>1032</v>
      </c>
      <c r="P149" s="232" t="s">
        <v>473</v>
      </c>
      <c r="Q149" s="232" t="s">
        <v>1032</v>
      </c>
      <c r="R149" s="232"/>
      <c r="S149" s="232" t="s">
        <v>474</v>
      </c>
      <c r="T149" s="232" t="s">
        <v>1396</v>
      </c>
      <c r="U149" s="232" t="s">
        <v>40</v>
      </c>
      <c r="V149" s="232" t="s">
        <v>1040</v>
      </c>
      <c r="W149" s="232" t="s">
        <v>75</v>
      </c>
      <c r="X149" s="232">
        <f t="shared" si="2"/>
        <v>10</v>
      </c>
    </row>
    <row r="150" spans="1:24" ht="240">
      <c r="A150" s="232" t="s">
        <v>470</v>
      </c>
      <c r="B150" s="232" t="s">
        <v>1397</v>
      </c>
      <c r="C150" s="232">
        <v>0</v>
      </c>
      <c r="D150" s="232">
        <v>0</v>
      </c>
      <c r="E150" s="232">
        <v>0</v>
      </c>
      <c r="F150" s="232">
        <v>1</v>
      </c>
      <c r="G150" s="232">
        <v>0</v>
      </c>
      <c r="H150" s="232">
        <v>0</v>
      </c>
      <c r="I150" s="232">
        <v>0</v>
      </c>
      <c r="J150" s="232">
        <v>0</v>
      </c>
      <c r="K150" s="232"/>
      <c r="L150" s="232" t="s">
        <v>165</v>
      </c>
      <c r="M150" s="232" t="s">
        <v>1040</v>
      </c>
      <c r="N150" s="232" t="s">
        <v>1032</v>
      </c>
      <c r="O150" s="232" t="s">
        <v>475</v>
      </c>
      <c r="P150" s="232" t="s">
        <v>1032</v>
      </c>
      <c r="Q150" s="232" t="s">
        <v>1032</v>
      </c>
      <c r="R150" s="232"/>
      <c r="S150" s="232" t="s">
        <v>1386</v>
      </c>
      <c r="T150" s="232" t="s">
        <v>1387</v>
      </c>
      <c r="U150" s="232" t="s">
        <v>149</v>
      </c>
      <c r="V150" s="232" t="s">
        <v>1040</v>
      </c>
      <c r="W150" s="232" t="s">
        <v>75</v>
      </c>
      <c r="X150" s="232">
        <f t="shared" si="2"/>
        <v>10</v>
      </c>
    </row>
    <row r="151" spans="1:24" ht="183" customHeight="1">
      <c r="A151" s="232" t="s">
        <v>476</v>
      </c>
      <c r="B151" s="232" t="s">
        <v>1065</v>
      </c>
      <c r="C151" s="232">
        <v>0</v>
      </c>
      <c r="D151" s="232">
        <v>0</v>
      </c>
      <c r="E151" s="232">
        <v>0</v>
      </c>
      <c r="F151" s="232">
        <v>1</v>
      </c>
      <c r="G151" s="232">
        <v>0</v>
      </c>
      <c r="H151" s="232">
        <v>0</v>
      </c>
      <c r="I151" s="232">
        <v>0</v>
      </c>
      <c r="J151" s="232">
        <v>1</v>
      </c>
      <c r="K151" s="232"/>
      <c r="L151" s="232" t="s">
        <v>165</v>
      </c>
      <c r="M151" s="232" t="s">
        <v>1040</v>
      </c>
      <c r="N151" s="232" t="s">
        <v>1321</v>
      </c>
      <c r="O151" s="232" t="s">
        <v>1032</v>
      </c>
      <c r="P151" s="232" t="s">
        <v>477</v>
      </c>
      <c r="Q151" s="232" t="s">
        <v>478</v>
      </c>
      <c r="R151" s="232"/>
      <c r="S151" s="232" t="s">
        <v>1525</v>
      </c>
      <c r="T151" s="232" t="s">
        <v>1526</v>
      </c>
      <c r="U151" s="232" t="s">
        <v>40</v>
      </c>
      <c r="V151" s="232" t="s">
        <v>1040</v>
      </c>
      <c r="W151" s="232" t="s">
        <v>46</v>
      </c>
      <c r="X151" s="232">
        <f t="shared" si="2"/>
        <v>20</v>
      </c>
    </row>
    <row r="152" spans="1:24" ht="181.5" customHeight="1">
      <c r="A152" s="232" t="s">
        <v>479</v>
      </c>
      <c r="B152" s="232" t="s">
        <v>1066</v>
      </c>
      <c r="C152" s="232">
        <v>0</v>
      </c>
      <c r="D152" s="232">
        <v>0</v>
      </c>
      <c r="E152" s="232">
        <v>0</v>
      </c>
      <c r="F152" s="232">
        <v>1</v>
      </c>
      <c r="G152" s="232">
        <v>0</v>
      </c>
      <c r="H152" s="232">
        <v>0</v>
      </c>
      <c r="I152" s="232">
        <v>0</v>
      </c>
      <c r="J152" s="232">
        <v>1</v>
      </c>
      <c r="K152" s="232"/>
      <c r="L152" s="232" t="s">
        <v>165</v>
      </c>
      <c r="M152" s="232" t="s">
        <v>1040</v>
      </c>
      <c r="N152" s="232" t="s">
        <v>1321</v>
      </c>
      <c r="O152" s="232" t="s">
        <v>1032</v>
      </c>
      <c r="P152" s="232" t="s">
        <v>485</v>
      </c>
      <c r="Q152" s="232" t="s">
        <v>486</v>
      </c>
      <c r="R152" s="232"/>
      <c r="S152" s="232" t="s">
        <v>487</v>
      </c>
      <c r="T152" s="232" t="s">
        <v>488</v>
      </c>
      <c r="U152" s="232" t="s">
        <v>40</v>
      </c>
      <c r="V152" s="232" t="s">
        <v>1040</v>
      </c>
      <c r="W152" s="232" t="s">
        <v>46</v>
      </c>
      <c r="X152" s="232">
        <f t="shared" si="2"/>
        <v>20</v>
      </c>
    </row>
    <row r="153" spans="1:24" ht="204.75" customHeight="1">
      <c r="A153" s="232" t="s">
        <v>484</v>
      </c>
      <c r="B153" s="232" t="s">
        <v>1169</v>
      </c>
      <c r="C153" s="232">
        <v>0</v>
      </c>
      <c r="D153" s="232">
        <v>0</v>
      </c>
      <c r="E153" s="232">
        <v>0</v>
      </c>
      <c r="F153" s="232">
        <v>1</v>
      </c>
      <c r="G153" s="232">
        <v>0</v>
      </c>
      <c r="H153" s="232">
        <v>0</v>
      </c>
      <c r="I153" s="232">
        <v>0</v>
      </c>
      <c r="J153" s="232">
        <v>1</v>
      </c>
      <c r="K153" s="232"/>
      <c r="L153" s="232" t="s">
        <v>165</v>
      </c>
      <c r="M153" s="232" t="s">
        <v>1040</v>
      </c>
      <c r="N153" s="232" t="s">
        <v>1321</v>
      </c>
      <c r="O153" s="232" t="s">
        <v>1032</v>
      </c>
      <c r="P153" s="232" t="s">
        <v>1170</v>
      </c>
      <c r="Q153" s="232" t="s">
        <v>490</v>
      </c>
      <c r="R153" s="232"/>
      <c r="S153" s="232" t="s">
        <v>1398</v>
      </c>
      <c r="T153" s="232" t="s">
        <v>491</v>
      </c>
      <c r="U153" s="232" t="s">
        <v>40</v>
      </c>
      <c r="V153" s="232" t="s">
        <v>1040</v>
      </c>
      <c r="W153" s="232" t="s">
        <v>46</v>
      </c>
      <c r="X153" s="232">
        <f t="shared" si="2"/>
        <v>20</v>
      </c>
    </row>
    <row r="154" spans="1:24" ht="203.25" customHeight="1">
      <c r="A154" s="232" t="s">
        <v>489</v>
      </c>
      <c r="B154" s="232" t="s">
        <v>1067</v>
      </c>
      <c r="C154" s="232">
        <v>0</v>
      </c>
      <c r="D154" s="232">
        <v>0</v>
      </c>
      <c r="E154" s="232">
        <v>0</v>
      </c>
      <c r="F154" s="232">
        <v>1</v>
      </c>
      <c r="G154" s="232">
        <v>0</v>
      </c>
      <c r="H154" s="232">
        <v>0</v>
      </c>
      <c r="I154" s="232">
        <v>0</v>
      </c>
      <c r="J154" s="232">
        <v>0</v>
      </c>
      <c r="K154" s="232"/>
      <c r="L154" s="232" t="s">
        <v>165</v>
      </c>
      <c r="M154" s="232" t="s">
        <v>1040</v>
      </c>
      <c r="N154" s="232" t="s">
        <v>1321</v>
      </c>
      <c r="O154" s="232" t="s">
        <v>1032</v>
      </c>
      <c r="P154" s="232" t="s">
        <v>1171</v>
      </c>
      <c r="Q154" s="232" t="s">
        <v>495</v>
      </c>
      <c r="R154" s="232" t="s">
        <v>1615</v>
      </c>
      <c r="S154" s="232" t="s">
        <v>1398</v>
      </c>
      <c r="T154" s="232" t="s">
        <v>1399</v>
      </c>
      <c r="U154" s="232" t="s">
        <v>40</v>
      </c>
      <c r="V154" s="232" t="s">
        <v>1040</v>
      </c>
      <c r="W154" s="232" t="s">
        <v>46</v>
      </c>
      <c r="X154" s="232">
        <f t="shared" si="2"/>
        <v>20</v>
      </c>
    </row>
    <row r="155" spans="1:24" ht="180">
      <c r="A155" s="232" t="s">
        <v>492</v>
      </c>
      <c r="B155" s="232" t="s">
        <v>1068</v>
      </c>
      <c r="C155" s="232">
        <v>0</v>
      </c>
      <c r="D155" s="232">
        <v>0</v>
      </c>
      <c r="E155" s="232">
        <v>0</v>
      </c>
      <c r="F155" s="232">
        <v>1</v>
      </c>
      <c r="G155" s="232">
        <v>0</v>
      </c>
      <c r="H155" s="232">
        <v>0</v>
      </c>
      <c r="I155" s="232">
        <v>0</v>
      </c>
      <c r="J155" s="232">
        <v>0</v>
      </c>
      <c r="K155" s="232"/>
      <c r="L155" s="232" t="s">
        <v>165</v>
      </c>
      <c r="M155" s="232" t="s">
        <v>1040</v>
      </c>
      <c r="N155" s="232" t="s">
        <v>1321</v>
      </c>
      <c r="O155" s="232" t="s">
        <v>1032</v>
      </c>
      <c r="P155" s="232" t="s">
        <v>514</v>
      </c>
      <c r="Q155" s="232" t="s">
        <v>515</v>
      </c>
      <c r="R155" s="232"/>
      <c r="S155" s="232" t="s">
        <v>516</v>
      </c>
      <c r="T155" s="232" t="s">
        <v>1400</v>
      </c>
      <c r="U155" s="232" t="s">
        <v>40</v>
      </c>
      <c r="V155" s="232" t="s">
        <v>1040</v>
      </c>
      <c r="W155" s="232" t="s">
        <v>46</v>
      </c>
      <c r="X155" s="232">
        <f t="shared" si="2"/>
        <v>20</v>
      </c>
    </row>
    <row r="156" spans="1:24" ht="165.75" customHeight="1">
      <c r="A156" s="232" t="s">
        <v>494</v>
      </c>
      <c r="B156" s="232" t="s">
        <v>1172</v>
      </c>
      <c r="C156" s="232">
        <v>0</v>
      </c>
      <c r="D156" s="232">
        <v>0</v>
      </c>
      <c r="E156" s="232">
        <v>0</v>
      </c>
      <c r="F156" s="232">
        <v>1</v>
      </c>
      <c r="G156" s="232">
        <v>0</v>
      </c>
      <c r="H156" s="232">
        <v>0</v>
      </c>
      <c r="I156" s="232">
        <v>0</v>
      </c>
      <c r="J156" s="232">
        <v>1</v>
      </c>
      <c r="K156" s="232"/>
      <c r="L156" s="232" t="s">
        <v>165</v>
      </c>
      <c r="M156" s="232" t="s">
        <v>1040</v>
      </c>
      <c r="N156" s="232" t="s">
        <v>1321</v>
      </c>
      <c r="O156" s="232" t="s">
        <v>1032</v>
      </c>
      <c r="P156" s="232" t="s">
        <v>480</v>
      </c>
      <c r="Q156" s="232" t="s">
        <v>481</v>
      </c>
      <c r="R156" s="232"/>
      <c r="S156" s="232" t="s">
        <v>482</v>
      </c>
      <c r="T156" s="232" t="s">
        <v>483</v>
      </c>
      <c r="U156" s="232" t="s">
        <v>40</v>
      </c>
      <c r="V156" s="232" t="s">
        <v>1040</v>
      </c>
      <c r="W156" s="232" t="s">
        <v>75</v>
      </c>
      <c r="X156" s="232">
        <f t="shared" si="2"/>
        <v>10</v>
      </c>
    </row>
    <row r="157" spans="1:24" ht="216" customHeight="1">
      <c r="A157" s="232" t="s">
        <v>496</v>
      </c>
      <c r="B157" s="232" t="s">
        <v>1173</v>
      </c>
      <c r="C157" s="232">
        <v>0</v>
      </c>
      <c r="D157" s="232">
        <v>0</v>
      </c>
      <c r="E157" s="232">
        <v>0</v>
      </c>
      <c r="F157" s="232">
        <v>1</v>
      </c>
      <c r="G157" s="232">
        <v>0</v>
      </c>
      <c r="H157" s="232">
        <v>0</v>
      </c>
      <c r="I157" s="232">
        <v>0</v>
      </c>
      <c r="J157" s="232">
        <v>1</v>
      </c>
      <c r="K157" s="232"/>
      <c r="L157" s="232" t="s">
        <v>165</v>
      </c>
      <c r="M157" s="232" t="s">
        <v>1040</v>
      </c>
      <c r="N157" s="232" t="s">
        <v>1321</v>
      </c>
      <c r="O157" s="232" t="s">
        <v>1032</v>
      </c>
      <c r="P157" s="232" t="s">
        <v>1174</v>
      </c>
      <c r="Q157" s="232" t="s">
        <v>493</v>
      </c>
      <c r="R157" s="232"/>
      <c r="S157" s="232" t="s">
        <v>1401</v>
      </c>
      <c r="T157" s="232" t="s">
        <v>1175</v>
      </c>
      <c r="U157" s="232" t="s">
        <v>40</v>
      </c>
      <c r="V157" s="232" t="s">
        <v>1040</v>
      </c>
      <c r="W157" s="232" t="s">
        <v>75</v>
      </c>
      <c r="X157" s="232">
        <f t="shared" si="2"/>
        <v>10</v>
      </c>
    </row>
    <row r="158" spans="1:24" ht="210.75" customHeight="1">
      <c r="A158" s="232" t="s">
        <v>499</v>
      </c>
      <c r="B158" s="232" t="s">
        <v>497</v>
      </c>
      <c r="C158" s="232">
        <v>0</v>
      </c>
      <c r="D158" s="232">
        <v>0</v>
      </c>
      <c r="E158" s="232">
        <v>0</v>
      </c>
      <c r="F158" s="232">
        <v>1</v>
      </c>
      <c r="G158" s="232">
        <v>0</v>
      </c>
      <c r="H158" s="232">
        <v>0</v>
      </c>
      <c r="I158" s="232">
        <v>0</v>
      </c>
      <c r="J158" s="232">
        <v>0</v>
      </c>
      <c r="K158" s="232"/>
      <c r="L158" s="232" t="s">
        <v>165</v>
      </c>
      <c r="M158" s="232" t="s">
        <v>1040</v>
      </c>
      <c r="N158" s="232" t="s">
        <v>1321</v>
      </c>
      <c r="O158" s="232" t="s">
        <v>1032</v>
      </c>
      <c r="P158" s="232" t="s">
        <v>1176</v>
      </c>
      <c r="Q158" s="232" t="s">
        <v>498</v>
      </c>
      <c r="R158" s="232" t="s">
        <v>1615</v>
      </c>
      <c r="S158" s="232" t="s">
        <v>1401</v>
      </c>
      <c r="T158" s="232" t="s">
        <v>1402</v>
      </c>
      <c r="U158" s="232" t="s">
        <v>40</v>
      </c>
      <c r="V158" s="232" t="s">
        <v>1040</v>
      </c>
      <c r="W158" s="232" t="s">
        <v>75</v>
      </c>
      <c r="X158" s="232">
        <f t="shared" si="2"/>
        <v>10</v>
      </c>
    </row>
    <row r="159" spans="1:24" ht="175.5" customHeight="1">
      <c r="A159" s="232" t="s">
        <v>504</v>
      </c>
      <c r="B159" s="232" t="s">
        <v>500</v>
      </c>
      <c r="C159" s="232">
        <v>0</v>
      </c>
      <c r="D159" s="232">
        <v>0</v>
      </c>
      <c r="E159" s="232">
        <v>0</v>
      </c>
      <c r="F159" s="232">
        <v>1</v>
      </c>
      <c r="G159" s="232">
        <v>0</v>
      </c>
      <c r="H159" s="232">
        <v>0</v>
      </c>
      <c r="I159" s="232">
        <v>0</v>
      </c>
      <c r="J159" s="232">
        <v>0</v>
      </c>
      <c r="K159" s="232"/>
      <c r="L159" s="232" t="s">
        <v>165</v>
      </c>
      <c r="M159" s="232" t="s">
        <v>1040</v>
      </c>
      <c r="N159" s="232" t="s">
        <v>1321</v>
      </c>
      <c r="O159" s="232" t="s">
        <v>1032</v>
      </c>
      <c r="P159" s="232" t="s">
        <v>501</v>
      </c>
      <c r="Q159" s="232" t="s">
        <v>502</v>
      </c>
      <c r="R159" s="232"/>
      <c r="S159" s="232" t="s">
        <v>1403</v>
      </c>
      <c r="T159" s="232" t="s">
        <v>503</v>
      </c>
      <c r="U159" s="232" t="s">
        <v>40</v>
      </c>
      <c r="V159" s="232" t="s">
        <v>1040</v>
      </c>
      <c r="W159" s="232" t="s">
        <v>75</v>
      </c>
      <c r="X159" s="232">
        <f t="shared" si="2"/>
        <v>10</v>
      </c>
    </row>
    <row r="160" spans="1:24" ht="192.75" customHeight="1">
      <c r="A160" s="232" t="s">
        <v>509</v>
      </c>
      <c r="B160" s="232" t="s">
        <v>510</v>
      </c>
      <c r="C160" s="232">
        <v>0</v>
      </c>
      <c r="D160" s="232">
        <v>0</v>
      </c>
      <c r="E160" s="232">
        <v>0</v>
      </c>
      <c r="F160" s="232">
        <v>1</v>
      </c>
      <c r="G160" s="232">
        <v>0</v>
      </c>
      <c r="H160" s="232">
        <v>0</v>
      </c>
      <c r="I160" s="232">
        <v>0</v>
      </c>
      <c r="J160" s="232">
        <v>0</v>
      </c>
      <c r="K160" s="232"/>
      <c r="L160" s="232" t="s">
        <v>1062</v>
      </c>
      <c r="M160" s="232" t="s">
        <v>1040</v>
      </c>
      <c r="N160" s="232" t="s">
        <v>1321</v>
      </c>
      <c r="O160" s="232" t="s">
        <v>511</v>
      </c>
      <c r="P160" s="232" t="s">
        <v>1032</v>
      </c>
      <c r="Q160" s="232" t="s">
        <v>1032</v>
      </c>
      <c r="R160" s="232"/>
      <c r="S160" s="232" t="s">
        <v>1404</v>
      </c>
      <c r="T160" s="232" t="s">
        <v>512</v>
      </c>
      <c r="U160" s="232" t="s">
        <v>1062</v>
      </c>
      <c r="V160" s="232" t="s">
        <v>1040</v>
      </c>
      <c r="W160" s="232" t="s">
        <v>75</v>
      </c>
      <c r="X160" s="232">
        <f t="shared" si="2"/>
        <v>10</v>
      </c>
    </row>
    <row r="161" spans="1:24" ht="180">
      <c r="A161" s="232" t="s">
        <v>513</v>
      </c>
      <c r="B161" s="232" t="s">
        <v>505</v>
      </c>
      <c r="C161" s="232">
        <v>0</v>
      </c>
      <c r="D161" s="232">
        <v>0</v>
      </c>
      <c r="E161" s="232">
        <v>0</v>
      </c>
      <c r="F161" s="232">
        <v>1</v>
      </c>
      <c r="G161" s="232">
        <v>0</v>
      </c>
      <c r="H161" s="232">
        <v>0</v>
      </c>
      <c r="I161" s="232">
        <v>0</v>
      </c>
      <c r="J161" s="232">
        <v>1</v>
      </c>
      <c r="K161" s="232"/>
      <c r="L161" s="232" t="s">
        <v>165</v>
      </c>
      <c r="M161" s="232" t="s">
        <v>1040</v>
      </c>
      <c r="N161" s="232" t="s">
        <v>1321</v>
      </c>
      <c r="O161" s="232" t="s">
        <v>1032</v>
      </c>
      <c r="P161" s="232" t="s">
        <v>506</v>
      </c>
      <c r="Q161" s="232" t="s">
        <v>507</v>
      </c>
      <c r="R161" s="232"/>
      <c r="S161" s="232" t="s">
        <v>1405</v>
      </c>
      <c r="T161" s="232" t="s">
        <v>508</v>
      </c>
      <c r="U161" s="232" t="s">
        <v>40</v>
      </c>
      <c r="V161" s="232" t="s">
        <v>1040</v>
      </c>
      <c r="W161" s="232" t="s">
        <v>41</v>
      </c>
      <c r="X161" s="232">
        <f t="shared" si="2"/>
        <v>5</v>
      </c>
    </row>
    <row r="162" spans="1:24" ht="165">
      <c r="A162" s="232" t="s">
        <v>517</v>
      </c>
      <c r="B162" s="232" t="s">
        <v>1069</v>
      </c>
      <c r="C162" s="232">
        <v>0</v>
      </c>
      <c r="D162" s="232">
        <v>1</v>
      </c>
      <c r="E162" s="232">
        <v>0</v>
      </c>
      <c r="F162" s="232">
        <v>0</v>
      </c>
      <c r="G162" s="232">
        <v>0</v>
      </c>
      <c r="H162" s="232">
        <v>0</v>
      </c>
      <c r="I162" s="232">
        <v>0</v>
      </c>
      <c r="J162" s="232">
        <v>0</v>
      </c>
      <c r="K162" s="232"/>
      <c r="L162" s="232" t="s">
        <v>131</v>
      </c>
      <c r="M162" s="232" t="s">
        <v>1040</v>
      </c>
      <c r="N162" s="232" t="s">
        <v>1032</v>
      </c>
      <c r="O162" s="232" t="s">
        <v>1032</v>
      </c>
      <c r="P162" s="232" t="s">
        <v>1032</v>
      </c>
      <c r="Q162" s="232" t="s">
        <v>1032</v>
      </c>
      <c r="R162" s="232"/>
      <c r="S162" s="232" t="s">
        <v>1406</v>
      </c>
      <c r="T162" s="232" t="s">
        <v>1407</v>
      </c>
      <c r="U162" s="232" t="s">
        <v>40</v>
      </c>
      <c r="V162" s="232" t="s">
        <v>1040</v>
      </c>
      <c r="W162" s="232" t="s">
        <v>46</v>
      </c>
      <c r="X162" s="232">
        <f t="shared" si="2"/>
        <v>20</v>
      </c>
    </row>
    <row r="163" spans="1:24" ht="120">
      <c r="A163" s="232" t="s">
        <v>518</v>
      </c>
      <c r="B163" s="232" t="s">
        <v>1070</v>
      </c>
      <c r="C163" s="232">
        <v>0</v>
      </c>
      <c r="D163" s="232">
        <v>1</v>
      </c>
      <c r="E163" s="232">
        <v>0</v>
      </c>
      <c r="F163" s="232">
        <v>0</v>
      </c>
      <c r="G163" s="232">
        <v>0</v>
      </c>
      <c r="H163" s="232">
        <v>0</v>
      </c>
      <c r="I163" s="232">
        <v>0</v>
      </c>
      <c r="J163" s="232">
        <v>0</v>
      </c>
      <c r="K163" s="232"/>
      <c r="L163" s="232" t="s">
        <v>131</v>
      </c>
      <c r="M163" s="232" t="s">
        <v>1040</v>
      </c>
      <c r="N163" s="232" t="s">
        <v>1032</v>
      </c>
      <c r="O163" s="232" t="s">
        <v>1032</v>
      </c>
      <c r="P163" s="232" t="s">
        <v>533</v>
      </c>
      <c r="Q163" s="232" t="s">
        <v>534</v>
      </c>
      <c r="R163" s="232"/>
      <c r="S163" s="232" t="s">
        <v>1408</v>
      </c>
      <c r="T163" s="232" t="s">
        <v>1409</v>
      </c>
      <c r="U163" s="232" t="s">
        <v>40</v>
      </c>
      <c r="V163" s="232" t="s">
        <v>1040</v>
      </c>
      <c r="W163" s="232" t="s">
        <v>46</v>
      </c>
      <c r="X163" s="232">
        <f t="shared" si="2"/>
        <v>20</v>
      </c>
    </row>
    <row r="164" spans="1:24" ht="120">
      <c r="A164" s="232" t="s">
        <v>520</v>
      </c>
      <c r="B164" s="232" t="s">
        <v>1086</v>
      </c>
      <c r="C164" s="232">
        <v>0</v>
      </c>
      <c r="D164" s="232">
        <v>1</v>
      </c>
      <c r="E164" s="232">
        <v>0</v>
      </c>
      <c r="F164" s="232">
        <v>0</v>
      </c>
      <c r="G164" s="232">
        <v>0</v>
      </c>
      <c r="H164" s="232">
        <v>0</v>
      </c>
      <c r="I164" s="232">
        <v>0</v>
      </c>
      <c r="J164" s="232">
        <v>0</v>
      </c>
      <c r="K164" s="232"/>
      <c r="L164" s="232" t="s">
        <v>131</v>
      </c>
      <c r="M164" s="232" t="s">
        <v>1040</v>
      </c>
      <c r="N164" s="232" t="s">
        <v>1032</v>
      </c>
      <c r="O164" s="232" t="s">
        <v>536</v>
      </c>
      <c r="P164" s="232" t="s">
        <v>1032</v>
      </c>
      <c r="Q164" s="232" t="s">
        <v>1032</v>
      </c>
      <c r="R164" s="232"/>
      <c r="S164" s="232" t="s">
        <v>1410</v>
      </c>
      <c r="T164" s="232" t="s">
        <v>1411</v>
      </c>
      <c r="U164" s="232" t="s">
        <v>40</v>
      </c>
      <c r="V164" s="232" t="s">
        <v>1040</v>
      </c>
      <c r="W164" s="232" t="s">
        <v>46</v>
      </c>
      <c r="X164" s="232">
        <f t="shared" si="2"/>
        <v>20</v>
      </c>
    </row>
    <row r="165" spans="1:24" ht="180">
      <c r="A165" s="232" t="s">
        <v>524</v>
      </c>
      <c r="B165" s="232" t="s">
        <v>519</v>
      </c>
      <c r="C165" s="232">
        <v>0</v>
      </c>
      <c r="D165" s="232">
        <v>1</v>
      </c>
      <c r="E165" s="232">
        <v>0</v>
      </c>
      <c r="F165" s="232">
        <v>0</v>
      </c>
      <c r="G165" s="232">
        <v>0</v>
      </c>
      <c r="H165" s="232">
        <v>0</v>
      </c>
      <c r="I165" s="232">
        <v>0</v>
      </c>
      <c r="J165" s="232">
        <v>0</v>
      </c>
      <c r="K165" s="232"/>
      <c r="L165" s="232" t="s">
        <v>131</v>
      </c>
      <c r="M165" s="232" t="s">
        <v>1040</v>
      </c>
      <c r="N165" s="232" t="s">
        <v>1032</v>
      </c>
      <c r="O165" s="232" t="s">
        <v>1032</v>
      </c>
      <c r="P165" s="232" t="s">
        <v>1032</v>
      </c>
      <c r="Q165" s="232" t="s">
        <v>1032</v>
      </c>
      <c r="R165" s="232"/>
      <c r="S165" s="232" t="s">
        <v>1372</v>
      </c>
      <c r="T165" s="232" t="s">
        <v>1373</v>
      </c>
      <c r="U165" s="232" t="s">
        <v>40</v>
      </c>
      <c r="V165" s="232" t="s">
        <v>1040</v>
      </c>
      <c r="W165" s="232" t="s">
        <v>75</v>
      </c>
      <c r="X165" s="232">
        <f t="shared" si="2"/>
        <v>10</v>
      </c>
    </row>
    <row r="166" spans="1:24" ht="195">
      <c r="A166" s="232" t="s">
        <v>528</v>
      </c>
      <c r="B166" s="232" t="s">
        <v>525</v>
      </c>
      <c r="C166" s="232">
        <v>0</v>
      </c>
      <c r="D166" s="232">
        <v>1</v>
      </c>
      <c r="E166" s="232">
        <v>0</v>
      </c>
      <c r="F166" s="232">
        <v>0</v>
      </c>
      <c r="G166" s="232">
        <v>0</v>
      </c>
      <c r="H166" s="232">
        <v>0</v>
      </c>
      <c r="I166" s="232">
        <v>0</v>
      </c>
      <c r="J166" s="232">
        <v>1</v>
      </c>
      <c r="K166" s="232"/>
      <c r="L166" s="232" t="s">
        <v>131</v>
      </c>
      <c r="M166" s="232" t="s">
        <v>1040</v>
      </c>
      <c r="N166" s="232" t="s">
        <v>1032</v>
      </c>
      <c r="O166" s="232" t="s">
        <v>1032</v>
      </c>
      <c r="P166" s="232" t="s">
        <v>526</v>
      </c>
      <c r="Q166" s="232" t="s">
        <v>527</v>
      </c>
      <c r="R166" s="232"/>
      <c r="S166" s="232" t="s">
        <v>1412</v>
      </c>
      <c r="T166" s="232" t="s">
        <v>1413</v>
      </c>
      <c r="U166" s="232" t="s">
        <v>40</v>
      </c>
      <c r="V166" s="232" t="s">
        <v>1040</v>
      </c>
      <c r="W166" s="232" t="s">
        <v>75</v>
      </c>
      <c r="X166" s="232">
        <f t="shared" si="2"/>
        <v>10</v>
      </c>
    </row>
    <row r="167" spans="1:24" ht="196.5" customHeight="1">
      <c r="A167" s="232" t="s">
        <v>532</v>
      </c>
      <c r="B167" s="232" t="s">
        <v>538</v>
      </c>
      <c r="C167" s="232">
        <v>0</v>
      </c>
      <c r="D167" s="232">
        <v>1</v>
      </c>
      <c r="E167" s="232">
        <v>0</v>
      </c>
      <c r="F167" s="232">
        <v>0</v>
      </c>
      <c r="G167" s="232">
        <v>0</v>
      </c>
      <c r="H167" s="232">
        <v>0</v>
      </c>
      <c r="I167" s="232">
        <v>0</v>
      </c>
      <c r="J167" s="232">
        <v>0</v>
      </c>
      <c r="K167" s="232"/>
      <c r="L167" s="232" t="s">
        <v>131</v>
      </c>
      <c r="M167" s="232" t="s">
        <v>1040</v>
      </c>
      <c r="N167" s="232" t="s">
        <v>1032</v>
      </c>
      <c r="O167" s="232" t="s">
        <v>1032</v>
      </c>
      <c r="P167" s="232" t="s">
        <v>539</v>
      </c>
      <c r="Q167" s="232" t="s">
        <v>540</v>
      </c>
      <c r="R167" s="232"/>
      <c r="S167" s="232" t="s">
        <v>1414</v>
      </c>
      <c r="T167" s="232" t="s">
        <v>1415</v>
      </c>
      <c r="U167" s="232" t="s">
        <v>40</v>
      </c>
      <c r="V167" s="232" t="s">
        <v>1040</v>
      </c>
      <c r="W167" s="232" t="s">
        <v>75</v>
      </c>
      <c r="X167" s="232">
        <f t="shared" si="2"/>
        <v>10</v>
      </c>
    </row>
    <row r="168" spans="1:24" ht="150">
      <c r="A168" s="232" t="s">
        <v>535</v>
      </c>
      <c r="B168" s="232" t="s">
        <v>542</v>
      </c>
      <c r="C168" s="232">
        <v>0</v>
      </c>
      <c r="D168" s="232">
        <v>1</v>
      </c>
      <c r="E168" s="232">
        <v>0</v>
      </c>
      <c r="F168" s="232">
        <v>0</v>
      </c>
      <c r="G168" s="232">
        <v>0</v>
      </c>
      <c r="H168" s="232">
        <v>0</v>
      </c>
      <c r="I168" s="232">
        <v>0</v>
      </c>
      <c r="J168" s="232">
        <v>0</v>
      </c>
      <c r="K168" s="232"/>
      <c r="L168" s="232" t="s">
        <v>131</v>
      </c>
      <c r="M168" s="232" t="s">
        <v>1040</v>
      </c>
      <c r="N168" s="232" t="s">
        <v>1032</v>
      </c>
      <c r="O168" s="232" t="s">
        <v>1032</v>
      </c>
      <c r="P168" s="232" t="s">
        <v>543</v>
      </c>
      <c r="Q168" s="232" t="s">
        <v>544</v>
      </c>
      <c r="R168" s="232"/>
      <c r="S168" s="232" t="s">
        <v>545</v>
      </c>
      <c r="T168" s="232" t="s">
        <v>1416</v>
      </c>
      <c r="U168" s="232" t="s">
        <v>40</v>
      </c>
      <c r="V168" s="232" t="s">
        <v>1040</v>
      </c>
      <c r="W168" s="232" t="s">
        <v>75</v>
      </c>
      <c r="X168" s="232">
        <f t="shared" si="2"/>
        <v>10</v>
      </c>
    </row>
    <row r="169" spans="1:24" ht="409.6">
      <c r="A169" s="232" t="s">
        <v>537</v>
      </c>
      <c r="B169" s="232" t="s">
        <v>547</v>
      </c>
      <c r="C169" s="232">
        <v>0</v>
      </c>
      <c r="D169" s="232">
        <v>1</v>
      </c>
      <c r="E169" s="232">
        <v>0</v>
      </c>
      <c r="F169" s="232">
        <v>0</v>
      </c>
      <c r="G169" s="232">
        <v>0</v>
      </c>
      <c r="H169" s="232">
        <v>0</v>
      </c>
      <c r="I169" s="232">
        <v>0</v>
      </c>
      <c r="J169" s="232">
        <v>1</v>
      </c>
      <c r="K169" s="232"/>
      <c r="L169" s="232" t="s">
        <v>131</v>
      </c>
      <c r="M169" s="232" t="s">
        <v>1040</v>
      </c>
      <c r="N169" s="232" t="s">
        <v>1032</v>
      </c>
      <c r="O169" s="232" t="s">
        <v>1032</v>
      </c>
      <c r="P169" s="232" t="s">
        <v>548</v>
      </c>
      <c r="Q169" s="232" t="s">
        <v>549</v>
      </c>
      <c r="R169" s="232"/>
      <c r="S169" s="232" t="s">
        <v>1417</v>
      </c>
      <c r="T169" s="232" t="s">
        <v>1418</v>
      </c>
      <c r="U169" s="232" t="s">
        <v>40</v>
      </c>
      <c r="V169" s="232" t="s">
        <v>1040</v>
      </c>
      <c r="W169" s="232" t="s">
        <v>75</v>
      </c>
      <c r="X169" s="232">
        <f t="shared" si="2"/>
        <v>10</v>
      </c>
    </row>
    <row r="170" spans="1:24" ht="180">
      <c r="A170" s="232" t="s">
        <v>541</v>
      </c>
      <c r="B170" s="232" t="s">
        <v>521</v>
      </c>
      <c r="C170" s="232">
        <v>0</v>
      </c>
      <c r="D170" s="232">
        <v>1</v>
      </c>
      <c r="E170" s="232">
        <v>0</v>
      </c>
      <c r="F170" s="232">
        <v>0</v>
      </c>
      <c r="G170" s="232">
        <v>0</v>
      </c>
      <c r="H170" s="232">
        <v>0</v>
      </c>
      <c r="I170" s="232">
        <v>0</v>
      </c>
      <c r="J170" s="232">
        <v>1</v>
      </c>
      <c r="K170" s="232"/>
      <c r="L170" s="232" t="s">
        <v>131</v>
      </c>
      <c r="M170" s="232" t="s">
        <v>1040</v>
      </c>
      <c r="N170" s="232" t="s">
        <v>1032</v>
      </c>
      <c r="O170" s="232" t="s">
        <v>1032</v>
      </c>
      <c r="P170" s="232" t="s">
        <v>522</v>
      </c>
      <c r="Q170" s="232" t="s">
        <v>523</v>
      </c>
      <c r="R170" s="232"/>
      <c r="S170" s="232" t="s">
        <v>1336</v>
      </c>
      <c r="T170" s="232" t="s">
        <v>1337</v>
      </c>
      <c r="U170" s="232" t="s">
        <v>40</v>
      </c>
      <c r="V170" s="232" t="s">
        <v>1040</v>
      </c>
      <c r="W170" s="232" t="s">
        <v>41</v>
      </c>
      <c r="X170" s="232">
        <f t="shared" si="2"/>
        <v>5</v>
      </c>
    </row>
    <row r="171" spans="1:24" ht="120">
      <c r="A171" s="232" t="s">
        <v>546</v>
      </c>
      <c r="B171" s="232" t="s">
        <v>529</v>
      </c>
      <c r="C171" s="232">
        <v>0</v>
      </c>
      <c r="D171" s="232">
        <v>1</v>
      </c>
      <c r="E171" s="232">
        <v>0</v>
      </c>
      <c r="F171" s="232">
        <v>0</v>
      </c>
      <c r="G171" s="232">
        <v>0</v>
      </c>
      <c r="H171" s="232">
        <v>0</v>
      </c>
      <c r="I171" s="232">
        <v>0</v>
      </c>
      <c r="J171" s="232">
        <v>0</v>
      </c>
      <c r="K171" s="232"/>
      <c r="L171" s="232" t="s">
        <v>131</v>
      </c>
      <c r="M171" s="232" t="s">
        <v>1040</v>
      </c>
      <c r="N171" s="232" t="s">
        <v>1032</v>
      </c>
      <c r="O171" s="232" t="s">
        <v>1032</v>
      </c>
      <c r="P171" s="232" t="s">
        <v>530</v>
      </c>
      <c r="Q171" s="232" t="s">
        <v>531</v>
      </c>
      <c r="R171" s="232"/>
      <c r="S171" s="232" t="s">
        <v>1410</v>
      </c>
      <c r="T171" s="232" t="s">
        <v>1411</v>
      </c>
      <c r="U171" s="232" t="s">
        <v>40</v>
      </c>
      <c r="V171" s="232" t="s">
        <v>1040</v>
      </c>
      <c r="W171" s="232" t="s">
        <v>41</v>
      </c>
      <c r="X171" s="232">
        <f t="shared" si="2"/>
        <v>5</v>
      </c>
    </row>
    <row r="172" spans="1:24" ht="240" customHeight="1">
      <c r="A172" s="232" t="s">
        <v>550</v>
      </c>
      <c r="B172" s="232" t="s">
        <v>551</v>
      </c>
      <c r="C172" s="232">
        <v>0</v>
      </c>
      <c r="D172" s="232">
        <v>1</v>
      </c>
      <c r="E172" s="232">
        <v>0</v>
      </c>
      <c r="F172" s="232">
        <v>0</v>
      </c>
      <c r="G172" s="232">
        <v>0</v>
      </c>
      <c r="H172" s="232">
        <v>0</v>
      </c>
      <c r="I172" s="232">
        <v>0</v>
      </c>
      <c r="J172" s="232">
        <v>1</v>
      </c>
      <c r="K172" s="232"/>
      <c r="L172" s="232" t="s">
        <v>131</v>
      </c>
      <c r="M172" s="232" t="s">
        <v>1040</v>
      </c>
      <c r="N172" s="232" t="s">
        <v>1032</v>
      </c>
      <c r="O172" s="232" t="s">
        <v>1032</v>
      </c>
      <c r="P172" s="232" t="s">
        <v>552</v>
      </c>
      <c r="Q172" s="232" t="s">
        <v>553</v>
      </c>
      <c r="R172" s="232"/>
      <c r="S172" s="232" t="s">
        <v>1473</v>
      </c>
      <c r="T172" s="232" t="s">
        <v>554</v>
      </c>
      <c r="U172" s="232" t="s">
        <v>40</v>
      </c>
      <c r="V172" s="232" t="s">
        <v>1040</v>
      </c>
      <c r="W172" s="232" t="s">
        <v>41</v>
      </c>
      <c r="X172" s="232">
        <f t="shared" si="2"/>
        <v>5</v>
      </c>
    </row>
    <row r="173" spans="1:24" ht="243" customHeight="1">
      <c r="A173" s="232" t="s">
        <v>555</v>
      </c>
      <c r="B173" s="232" t="s">
        <v>556</v>
      </c>
      <c r="C173" s="232">
        <v>0</v>
      </c>
      <c r="D173" s="232">
        <v>1</v>
      </c>
      <c r="E173" s="232">
        <v>0</v>
      </c>
      <c r="F173" s="232">
        <v>0</v>
      </c>
      <c r="G173" s="232">
        <v>0</v>
      </c>
      <c r="H173" s="232">
        <v>0</v>
      </c>
      <c r="I173" s="232">
        <v>0</v>
      </c>
      <c r="J173" s="232">
        <v>1</v>
      </c>
      <c r="K173" s="232"/>
      <c r="L173" s="232" t="s">
        <v>131</v>
      </c>
      <c r="M173" s="232" t="s">
        <v>1040</v>
      </c>
      <c r="N173" s="232" t="s">
        <v>1032</v>
      </c>
      <c r="O173" s="232" t="s">
        <v>1032</v>
      </c>
      <c r="P173" s="232" t="s">
        <v>557</v>
      </c>
      <c r="Q173" s="232" t="s">
        <v>558</v>
      </c>
      <c r="R173" s="232"/>
      <c r="S173" s="232" t="s">
        <v>1473</v>
      </c>
      <c r="T173" s="232" t="s">
        <v>554</v>
      </c>
      <c r="U173" s="232" t="s">
        <v>40</v>
      </c>
      <c r="V173" s="232" t="s">
        <v>1040</v>
      </c>
      <c r="W173" s="232" t="s">
        <v>41</v>
      </c>
      <c r="X173" s="232">
        <f t="shared" si="2"/>
        <v>5</v>
      </c>
    </row>
    <row r="174" spans="1:24" ht="195">
      <c r="A174" s="232" t="s">
        <v>559</v>
      </c>
      <c r="B174" s="232" t="s">
        <v>560</v>
      </c>
      <c r="C174" s="232">
        <v>0</v>
      </c>
      <c r="D174" s="232">
        <v>1</v>
      </c>
      <c r="E174" s="232">
        <v>0</v>
      </c>
      <c r="F174" s="232">
        <v>0</v>
      </c>
      <c r="G174" s="232">
        <v>0</v>
      </c>
      <c r="H174" s="232">
        <v>0</v>
      </c>
      <c r="I174" s="232">
        <v>0</v>
      </c>
      <c r="J174" s="232">
        <v>0</v>
      </c>
      <c r="K174" s="232"/>
      <c r="L174" s="232" t="s">
        <v>131</v>
      </c>
      <c r="M174" s="232" t="s">
        <v>1040</v>
      </c>
      <c r="N174" s="232" t="s">
        <v>1032</v>
      </c>
      <c r="O174" s="232" t="s">
        <v>1032</v>
      </c>
      <c r="P174" s="232" t="s">
        <v>561</v>
      </c>
      <c r="Q174" s="232" t="s">
        <v>562</v>
      </c>
      <c r="R174" s="232"/>
      <c r="S174" s="232" t="s">
        <v>1419</v>
      </c>
      <c r="T174" s="232" t="s">
        <v>1420</v>
      </c>
      <c r="U174" s="232" t="s">
        <v>40</v>
      </c>
      <c r="V174" s="232" t="s">
        <v>1040</v>
      </c>
      <c r="W174" s="232" t="s">
        <v>41</v>
      </c>
      <c r="X174" s="232">
        <f t="shared" si="2"/>
        <v>5</v>
      </c>
    </row>
    <row r="175" spans="1:24" ht="206.25" customHeight="1">
      <c r="A175" s="232" t="s">
        <v>563</v>
      </c>
      <c r="B175" s="232" t="s">
        <v>564</v>
      </c>
      <c r="C175" s="232">
        <v>0</v>
      </c>
      <c r="D175" s="232">
        <v>1</v>
      </c>
      <c r="E175" s="232">
        <v>0</v>
      </c>
      <c r="F175" s="232">
        <v>0</v>
      </c>
      <c r="G175" s="232">
        <v>0</v>
      </c>
      <c r="H175" s="232">
        <v>0</v>
      </c>
      <c r="I175" s="232">
        <v>0</v>
      </c>
      <c r="J175" s="232">
        <v>1</v>
      </c>
      <c r="K175" s="232"/>
      <c r="L175" s="232" t="s">
        <v>131</v>
      </c>
      <c r="M175" s="232" t="s">
        <v>1040</v>
      </c>
      <c r="N175" s="232" t="s">
        <v>1032</v>
      </c>
      <c r="O175" s="232" t="s">
        <v>1032</v>
      </c>
      <c r="P175" s="232" t="s">
        <v>565</v>
      </c>
      <c r="Q175" s="232" t="s">
        <v>566</v>
      </c>
      <c r="R175" s="232"/>
      <c r="S175" s="232" t="s">
        <v>1474</v>
      </c>
      <c r="T175" s="232" t="s">
        <v>567</v>
      </c>
      <c r="U175" s="232" t="s">
        <v>40</v>
      </c>
      <c r="V175" s="232" t="s">
        <v>1040</v>
      </c>
      <c r="W175" s="232" t="s">
        <v>41</v>
      </c>
      <c r="X175" s="232">
        <f t="shared" si="2"/>
        <v>5</v>
      </c>
    </row>
    <row r="176" spans="1:24" ht="127.5" customHeight="1">
      <c r="A176" s="232" t="s">
        <v>568</v>
      </c>
      <c r="B176" s="232" t="s">
        <v>569</v>
      </c>
      <c r="C176" s="232">
        <v>0</v>
      </c>
      <c r="D176" s="232">
        <v>1</v>
      </c>
      <c r="E176" s="232">
        <v>0</v>
      </c>
      <c r="F176" s="232">
        <v>0</v>
      </c>
      <c r="G176" s="232">
        <v>0</v>
      </c>
      <c r="H176" s="232">
        <v>0</v>
      </c>
      <c r="I176" s="232">
        <v>0</v>
      </c>
      <c r="J176" s="232">
        <v>1</v>
      </c>
      <c r="K176" s="232"/>
      <c r="L176" s="232" t="s">
        <v>131</v>
      </c>
      <c r="M176" s="232" t="s">
        <v>1040</v>
      </c>
      <c r="N176" s="232" t="s">
        <v>1032</v>
      </c>
      <c r="O176" s="232" t="s">
        <v>1032</v>
      </c>
      <c r="P176" s="232" t="s">
        <v>570</v>
      </c>
      <c r="Q176" s="232" t="s">
        <v>571</v>
      </c>
      <c r="R176" s="232" t="s">
        <v>1615</v>
      </c>
      <c r="S176" s="232" t="s">
        <v>1421</v>
      </c>
      <c r="T176" s="232" t="s">
        <v>572</v>
      </c>
      <c r="U176" s="232" t="s">
        <v>40</v>
      </c>
      <c r="V176" s="232" t="s">
        <v>1040</v>
      </c>
      <c r="W176" s="232" t="s">
        <v>41</v>
      </c>
      <c r="X176" s="232">
        <f t="shared" si="2"/>
        <v>5</v>
      </c>
    </row>
    <row r="177" spans="1:24" ht="270">
      <c r="A177" s="232" t="s">
        <v>573</v>
      </c>
      <c r="B177" s="232" t="s">
        <v>574</v>
      </c>
      <c r="C177" s="232">
        <v>0</v>
      </c>
      <c r="D177" s="232">
        <v>0</v>
      </c>
      <c r="E177" s="232">
        <v>0</v>
      </c>
      <c r="F177" s="232">
        <v>1</v>
      </c>
      <c r="G177" s="232">
        <v>0</v>
      </c>
      <c r="H177" s="232">
        <v>0</v>
      </c>
      <c r="I177" s="232">
        <v>0</v>
      </c>
      <c r="J177" s="232">
        <v>1</v>
      </c>
      <c r="K177" s="232"/>
      <c r="L177" s="232" t="s">
        <v>165</v>
      </c>
      <c r="M177" s="232" t="s">
        <v>1040</v>
      </c>
      <c r="N177" s="232" t="s">
        <v>1321</v>
      </c>
      <c r="O177" s="232" t="s">
        <v>1032</v>
      </c>
      <c r="P177" s="232" t="s">
        <v>575</v>
      </c>
      <c r="Q177" s="232" t="s">
        <v>576</v>
      </c>
      <c r="R177" s="232"/>
      <c r="S177" s="232" t="s">
        <v>1422</v>
      </c>
      <c r="T177" s="232" t="s">
        <v>1423</v>
      </c>
      <c r="U177" s="232" t="s">
        <v>40</v>
      </c>
      <c r="V177" s="232" t="s">
        <v>1040</v>
      </c>
      <c r="W177" s="232" t="s">
        <v>75</v>
      </c>
      <c r="X177" s="232">
        <f t="shared" si="2"/>
        <v>10</v>
      </c>
    </row>
    <row r="178" spans="1:24" ht="221.25" customHeight="1">
      <c r="A178" s="232" t="s">
        <v>577</v>
      </c>
      <c r="B178" s="232" t="s">
        <v>578</v>
      </c>
      <c r="C178" s="232">
        <v>0</v>
      </c>
      <c r="D178" s="232">
        <v>0</v>
      </c>
      <c r="E178" s="232">
        <v>0</v>
      </c>
      <c r="F178" s="232">
        <v>1</v>
      </c>
      <c r="G178" s="232">
        <v>0</v>
      </c>
      <c r="H178" s="232">
        <v>0</v>
      </c>
      <c r="I178" s="232">
        <v>0</v>
      </c>
      <c r="J178" s="232">
        <v>1</v>
      </c>
      <c r="K178" s="232"/>
      <c r="L178" s="232" t="s">
        <v>165</v>
      </c>
      <c r="M178" s="232" t="s">
        <v>1040</v>
      </c>
      <c r="N178" s="232" t="s">
        <v>1321</v>
      </c>
      <c r="O178" s="232" t="s">
        <v>1032</v>
      </c>
      <c r="P178" s="232" t="s">
        <v>579</v>
      </c>
      <c r="Q178" s="232" t="s">
        <v>580</v>
      </c>
      <c r="R178" s="232"/>
      <c r="S178" s="232" t="s">
        <v>1424</v>
      </c>
      <c r="T178" s="232" t="s">
        <v>1423</v>
      </c>
      <c r="U178" s="232" t="s">
        <v>40</v>
      </c>
      <c r="V178" s="232" t="s">
        <v>1040</v>
      </c>
      <c r="W178" s="232" t="s">
        <v>41</v>
      </c>
      <c r="X178" s="232">
        <f t="shared" si="2"/>
        <v>5</v>
      </c>
    </row>
    <row r="179" spans="1:24" ht="165">
      <c r="A179" s="232" t="s">
        <v>581</v>
      </c>
      <c r="B179" s="232" t="s">
        <v>582</v>
      </c>
      <c r="C179" s="232">
        <v>0</v>
      </c>
      <c r="D179" s="232">
        <v>0</v>
      </c>
      <c r="E179" s="232">
        <v>0</v>
      </c>
      <c r="F179" s="232">
        <v>1</v>
      </c>
      <c r="G179" s="232">
        <v>0</v>
      </c>
      <c r="H179" s="232">
        <v>0</v>
      </c>
      <c r="I179" s="232">
        <v>0</v>
      </c>
      <c r="J179" s="232">
        <v>1</v>
      </c>
      <c r="K179" s="232"/>
      <c r="L179" s="232" t="s">
        <v>165</v>
      </c>
      <c r="M179" s="232" t="s">
        <v>1040</v>
      </c>
      <c r="N179" s="232" t="s">
        <v>1321</v>
      </c>
      <c r="O179" s="232" t="s">
        <v>1032</v>
      </c>
      <c r="P179" s="232" t="s">
        <v>583</v>
      </c>
      <c r="Q179" s="232" t="s">
        <v>584</v>
      </c>
      <c r="R179" s="232"/>
      <c r="S179" s="232" t="s">
        <v>1425</v>
      </c>
      <c r="T179" s="232" t="s">
        <v>1426</v>
      </c>
      <c r="U179" s="232" t="s">
        <v>40</v>
      </c>
      <c r="V179" s="232" t="s">
        <v>1040</v>
      </c>
      <c r="W179" s="232" t="s">
        <v>41</v>
      </c>
      <c r="X179" s="232">
        <f t="shared" si="2"/>
        <v>5</v>
      </c>
    </row>
    <row r="180" spans="1:24" ht="225">
      <c r="A180" s="232" t="s">
        <v>585</v>
      </c>
      <c r="B180" s="232" t="s">
        <v>586</v>
      </c>
      <c r="C180" s="232">
        <v>0</v>
      </c>
      <c r="D180" s="232">
        <v>0</v>
      </c>
      <c r="E180" s="232">
        <v>0</v>
      </c>
      <c r="F180" s="232">
        <v>1</v>
      </c>
      <c r="G180" s="232">
        <v>0</v>
      </c>
      <c r="H180" s="232">
        <v>0</v>
      </c>
      <c r="I180" s="232">
        <v>0</v>
      </c>
      <c r="J180" s="232">
        <v>1</v>
      </c>
      <c r="K180" s="232"/>
      <c r="L180" s="232" t="s">
        <v>165</v>
      </c>
      <c r="M180" s="232" t="s">
        <v>1032</v>
      </c>
      <c r="N180" s="232" t="s">
        <v>1321</v>
      </c>
      <c r="O180" s="232" t="s">
        <v>1032</v>
      </c>
      <c r="P180" s="232" t="s">
        <v>587</v>
      </c>
      <c r="Q180" s="232" t="s">
        <v>1253</v>
      </c>
      <c r="R180" s="232"/>
      <c r="S180" s="232" t="s">
        <v>1427</v>
      </c>
      <c r="T180" s="232" t="s">
        <v>1418</v>
      </c>
      <c r="U180" s="232" t="s">
        <v>40</v>
      </c>
      <c r="V180" s="232" t="s">
        <v>1032</v>
      </c>
      <c r="W180" s="232" t="s">
        <v>41</v>
      </c>
      <c r="X180" s="232">
        <f t="shared" si="2"/>
        <v>5</v>
      </c>
    </row>
    <row r="181" spans="1:24" ht="224.25" customHeight="1">
      <c r="A181" s="232" t="s">
        <v>588</v>
      </c>
      <c r="B181" s="232" t="s">
        <v>1071</v>
      </c>
      <c r="C181" s="232">
        <v>0</v>
      </c>
      <c r="D181" s="232">
        <v>0</v>
      </c>
      <c r="E181" s="232">
        <v>0</v>
      </c>
      <c r="F181" s="232">
        <v>1</v>
      </c>
      <c r="G181" s="232">
        <v>0</v>
      </c>
      <c r="H181" s="232">
        <v>0</v>
      </c>
      <c r="I181" s="232">
        <v>0</v>
      </c>
      <c r="J181" s="232">
        <v>0</v>
      </c>
      <c r="K181" s="232"/>
      <c r="L181" s="232" t="s">
        <v>165</v>
      </c>
      <c r="M181" s="232" t="s">
        <v>1040</v>
      </c>
      <c r="N181" s="232" t="s">
        <v>1321</v>
      </c>
      <c r="O181" s="232" t="s">
        <v>1032</v>
      </c>
      <c r="P181" s="232" t="s">
        <v>597</v>
      </c>
      <c r="Q181" s="232" t="s">
        <v>598</v>
      </c>
      <c r="R181" s="232"/>
      <c r="S181" s="232" t="s">
        <v>1428</v>
      </c>
      <c r="T181" s="232" t="s">
        <v>1429</v>
      </c>
      <c r="U181" s="232" t="s">
        <v>40</v>
      </c>
      <c r="V181" s="232" t="s">
        <v>1040</v>
      </c>
      <c r="W181" s="232" t="s">
        <v>46</v>
      </c>
      <c r="X181" s="232">
        <f t="shared" si="2"/>
        <v>20</v>
      </c>
    </row>
    <row r="182" spans="1:24" ht="135">
      <c r="A182" s="232" t="s">
        <v>592</v>
      </c>
      <c r="B182" s="232" t="s">
        <v>1072</v>
      </c>
      <c r="C182" s="232">
        <v>0</v>
      </c>
      <c r="D182" s="232">
        <v>0</v>
      </c>
      <c r="E182" s="232">
        <v>0</v>
      </c>
      <c r="F182" s="232">
        <v>1</v>
      </c>
      <c r="G182" s="232">
        <v>0</v>
      </c>
      <c r="H182" s="232">
        <v>0</v>
      </c>
      <c r="I182" s="232">
        <v>0</v>
      </c>
      <c r="J182" s="232">
        <v>1</v>
      </c>
      <c r="K182" s="232"/>
      <c r="L182" s="232" t="s">
        <v>165</v>
      </c>
      <c r="M182" s="232" t="s">
        <v>1040</v>
      </c>
      <c r="N182" s="232" t="s">
        <v>1321</v>
      </c>
      <c r="O182" s="232" t="s">
        <v>1032</v>
      </c>
      <c r="P182" s="232" t="s">
        <v>600</v>
      </c>
      <c r="Q182" s="232" t="s">
        <v>601</v>
      </c>
      <c r="R182" s="232"/>
      <c r="S182" s="232" t="s">
        <v>1430</v>
      </c>
      <c r="T182" s="232" t="s">
        <v>1431</v>
      </c>
      <c r="U182" s="232" t="s">
        <v>40</v>
      </c>
      <c r="V182" s="232" t="s">
        <v>1040</v>
      </c>
      <c r="W182" s="232" t="s">
        <v>46</v>
      </c>
      <c r="X182" s="232">
        <f t="shared" si="2"/>
        <v>20</v>
      </c>
    </row>
    <row r="183" spans="1:24" ht="180">
      <c r="A183" s="232" t="s">
        <v>596</v>
      </c>
      <c r="B183" s="232" t="s">
        <v>1073</v>
      </c>
      <c r="C183" s="232">
        <v>0</v>
      </c>
      <c r="D183" s="232">
        <v>0</v>
      </c>
      <c r="E183" s="232">
        <v>0</v>
      </c>
      <c r="F183" s="232">
        <v>1</v>
      </c>
      <c r="G183" s="232">
        <v>0</v>
      </c>
      <c r="H183" s="232">
        <v>0</v>
      </c>
      <c r="I183" s="232">
        <v>0</v>
      </c>
      <c r="J183" s="232">
        <v>1</v>
      </c>
      <c r="K183" s="232"/>
      <c r="L183" s="232" t="s">
        <v>165</v>
      </c>
      <c r="M183" s="232" t="s">
        <v>1040</v>
      </c>
      <c r="N183" s="232" t="s">
        <v>1321</v>
      </c>
      <c r="O183" s="232" t="s">
        <v>1032</v>
      </c>
      <c r="P183" s="232" t="s">
        <v>605</v>
      </c>
      <c r="Q183" s="232" t="s">
        <v>1177</v>
      </c>
      <c r="R183" s="232"/>
      <c r="S183" s="232" t="s">
        <v>1432</v>
      </c>
      <c r="T183" s="232" t="s">
        <v>606</v>
      </c>
      <c r="U183" s="232" t="s">
        <v>40</v>
      </c>
      <c r="V183" s="232" t="s">
        <v>1040</v>
      </c>
      <c r="W183" s="232" t="s">
        <v>46</v>
      </c>
      <c r="X183" s="232">
        <f t="shared" si="2"/>
        <v>20</v>
      </c>
    </row>
    <row r="184" spans="1:24" ht="289.5" customHeight="1">
      <c r="A184" s="232" t="s">
        <v>599</v>
      </c>
      <c r="B184" s="232" t="s">
        <v>593</v>
      </c>
      <c r="C184" s="232">
        <v>0</v>
      </c>
      <c r="D184" s="232">
        <v>0</v>
      </c>
      <c r="E184" s="232">
        <v>0</v>
      </c>
      <c r="F184" s="232">
        <v>1</v>
      </c>
      <c r="G184" s="232">
        <v>0</v>
      </c>
      <c r="H184" s="232">
        <v>0</v>
      </c>
      <c r="I184" s="232">
        <v>0</v>
      </c>
      <c r="J184" s="232">
        <v>1</v>
      </c>
      <c r="K184" s="232"/>
      <c r="L184" s="232" t="s">
        <v>165</v>
      </c>
      <c r="M184" s="232" t="s">
        <v>1040</v>
      </c>
      <c r="N184" s="232" t="s">
        <v>1321</v>
      </c>
      <c r="O184" s="232" t="s">
        <v>1032</v>
      </c>
      <c r="P184" s="232" t="s">
        <v>594</v>
      </c>
      <c r="Q184" s="232" t="s">
        <v>595</v>
      </c>
      <c r="R184" s="232"/>
      <c r="S184" s="232" t="s">
        <v>1433</v>
      </c>
      <c r="T184" s="232" t="s">
        <v>1178</v>
      </c>
      <c r="U184" s="232" t="s">
        <v>40</v>
      </c>
      <c r="V184" s="232" t="s">
        <v>1040</v>
      </c>
      <c r="W184" s="232" t="s">
        <v>75</v>
      </c>
      <c r="X184" s="232">
        <f t="shared" si="2"/>
        <v>10</v>
      </c>
    </row>
    <row r="185" spans="1:24" ht="296.25" customHeight="1">
      <c r="A185" s="232" t="s">
        <v>602</v>
      </c>
      <c r="B185" s="232" t="s">
        <v>1508</v>
      </c>
      <c r="C185" s="232">
        <v>0</v>
      </c>
      <c r="D185" s="232">
        <v>0</v>
      </c>
      <c r="E185" s="232">
        <v>0</v>
      </c>
      <c r="F185" s="232">
        <v>1</v>
      </c>
      <c r="G185" s="232">
        <v>0</v>
      </c>
      <c r="H185" s="232">
        <v>0</v>
      </c>
      <c r="I185" s="232">
        <v>0</v>
      </c>
      <c r="J185" s="232">
        <v>0</v>
      </c>
      <c r="K185" s="232"/>
      <c r="L185" s="232" t="s">
        <v>165</v>
      </c>
      <c r="M185" s="232" t="s">
        <v>1040</v>
      </c>
      <c r="N185" s="232" t="s">
        <v>1321</v>
      </c>
      <c r="O185" s="232" t="s">
        <v>603</v>
      </c>
      <c r="P185" s="232" t="s">
        <v>1032</v>
      </c>
      <c r="Q185" s="232" t="s">
        <v>1032</v>
      </c>
      <c r="R185" s="232"/>
      <c r="S185" s="232" t="s">
        <v>1475</v>
      </c>
      <c r="T185" s="232" t="s">
        <v>1434</v>
      </c>
      <c r="U185" s="232" t="s">
        <v>40</v>
      </c>
      <c r="V185" s="232" t="s">
        <v>1040</v>
      </c>
      <c r="W185" s="232" t="s">
        <v>75</v>
      </c>
      <c r="X185" s="232">
        <f t="shared" si="2"/>
        <v>10</v>
      </c>
    </row>
    <row r="186" spans="1:24" ht="300" customHeight="1">
      <c r="A186" s="232" t="s">
        <v>604</v>
      </c>
      <c r="B186" s="232" t="s">
        <v>589</v>
      </c>
      <c r="C186" s="232">
        <v>0</v>
      </c>
      <c r="D186" s="232">
        <v>0</v>
      </c>
      <c r="E186" s="232">
        <v>0</v>
      </c>
      <c r="F186" s="232">
        <v>1</v>
      </c>
      <c r="G186" s="232">
        <v>0</v>
      </c>
      <c r="H186" s="232">
        <v>0</v>
      </c>
      <c r="I186" s="232">
        <v>0</v>
      </c>
      <c r="J186" s="232">
        <v>1</v>
      </c>
      <c r="K186" s="232"/>
      <c r="L186" s="232" t="s">
        <v>165</v>
      </c>
      <c r="M186" s="232" t="s">
        <v>1040</v>
      </c>
      <c r="N186" s="232" t="s">
        <v>1321</v>
      </c>
      <c r="O186" s="232" t="s">
        <v>1032</v>
      </c>
      <c r="P186" s="232" t="s">
        <v>590</v>
      </c>
      <c r="Q186" s="232" t="s">
        <v>591</v>
      </c>
      <c r="R186" s="232"/>
      <c r="S186" s="232" t="s">
        <v>1435</v>
      </c>
      <c r="T186" s="232" t="s">
        <v>1179</v>
      </c>
      <c r="U186" s="232" t="s">
        <v>40</v>
      </c>
      <c r="V186" s="232" t="s">
        <v>1040</v>
      </c>
      <c r="W186" s="232" t="s">
        <v>41</v>
      </c>
      <c r="X186" s="232">
        <f t="shared" si="2"/>
        <v>5</v>
      </c>
    </row>
    <row r="187" spans="1:24" ht="77" customHeight="1">
      <c r="A187" s="232" t="s">
        <v>607</v>
      </c>
      <c r="B187" s="232" t="s">
        <v>1522</v>
      </c>
      <c r="C187" s="232">
        <v>0</v>
      </c>
      <c r="D187" s="232">
        <v>0</v>
      </c>
      <c r="E187" s="232">
        <v>0</v>
      </c>
      <c r="F187" s="232">
        <v>0</v>
      </c>
      <c r="G187" s="232">
        <v>0</v>
      </c>
      <c r="H187" s="232">
        <v>1</v>
      </c>
      <c r="I187" s="232">
        <v>0</v>
      </c>
      <c r="J187" s="232">
        <v>1</v>
      </c>
      <c r="K187" s="232"/>
      <c r="L187" s="232" t="s">
        <v>608</v>
      </c>
      <c r="M187" s="232" t="s">
        <v>1040</v>
      </c>
      <c r="N187" s="232" t="s">
        <v>1436</v>
      </c>
      <c r="O187" s="232" t="s">
        <v>609</v>
      </c>
      <c r="P187" s="232" t="s">
        <v>1032</v>
      </c>
      <c r="Q187" s="232" t="s">
        <v>1032</v>
      </c>
      <c r="R187" s="232"/>
      <c r="S187" s="232" t="s">
        <v>610</v>
      </c>
      <c r="T187" s="232" t="s">
        <v>611</v>
      </c>
      <c r="U187" s="232" t="s">
        <v>40</v>
      </c>
      <c r="V187" s="232" t="s">
        <v>1040</v>
      </c>
      <c r="W187" s="232" t="s">
        <v>46</v>
      </c>
      <c r="X187" s="232">
        <f t="shared" si="2"/>
        <v>20</v>
      </c>
    </row>
    <row r="188" spans="1:24" ht="77" customHeight="1">
      <c r="A188" s="232" t="s">
        <v>612</v>
      </c>
      <c r="B188" s="232" t="s">
        <v>1545</v>
      </c>
      <c r="C188" s="232">
        <v>0</v>
      </c>
      <c r="D188" s="232">
        <v>0</v>
      </c>
      <c r="E188" s="232">
        <v>0</v>
      </c>
      <c r="F188" s="232">
        <v>0</v>
      </c>
      <c r="G188" s="232">
        <v>0</v>
      </c>
      <c r="H188" s="232">
        <v>1</v>
      </c>
      <c r="I188" s="232">
        <v>0</v>
      </c>
      <c r="J188" s="232">
        <v>1</v>
      </c>
      <c r="K188" s="232"/>
      <c r="L188" s="232" t="s">
        <v>608</v>
      </c>
      <c r="M188" s="232" t="s">
        <v>1040</v>
      </c>
      <c r="N188" s="232" t="s">
        <v>1436</v>
      </c>
      <c r="O188" s="232" t="s">
        <v>609</v>
      </c>
      <c r="P188" s="232" t="s">
        <v>1032</v>
      </c>
      <c r="Q188" s="232" t="s">
        <v>1032</v>
      </c>
      <c r="R188" s="232"/>
      <c r="S188" s="232" t="s">
        <v>610</v>
      </c>
      <c r="T188" s="232" t="s">
        <v>611</v>
      </c>
      <c r="U188" s="232" t="s">
        <v>40</v>
      </c>
      <c r="V188" s="232" t="s">
        <v>1040</v>
      </c>
      <c r="W188" s="232" t="s">
        <v>46</v>
      </c>
      <c r="X188" s="232">
        <f t="shared" si="2"/>
        <v>20</v>
      </c>
    </row>
    <row r="189" spans="1:24" ht="77" customHeight="1">
      <c r="A189" s="232" t="s">
        <v>614</v>
      </c>
      <c r="B189" s="232" t="s">
        <v>1543</v>
      </c>
      <c r="C189" s="232">
        <v>0</v>
      </c>
      <c r="D189" s="232">
        <v>0</v>
      </c>
      <c r="E189" s="232">
        <v>0</v>
      </c>
      <c r="F189" s="232">
        <v>0</v>
      </c>
      <c r="G189" s="232">
        <v>0</v>
      </c>
      <c r="H189" s="232">
        <v>1</v>
      </c>
      <c r="I189" s="232">
        <v>0</v>
      </c>
      <c r="J189" s="232">
        <v>1</v>
      </c>
      <c r="K189" s="232"/>
      <c r="L189" s="232" t="s">
        <v>608</v>
      </c>
      <c r="M189" s="232" t="s">
        <v>1040</v>
      </c>
      <c r="N189" s="232" t="s">
        <v>1436</v>
      </c>
      <c r="O189" s="232" t="s">
        <v>609</v>
      </c>
      <c r="P189" s="232" t="s">
        <v>1032</v>
      </c>
      <c r="Q189" s="232" t="s">
        <v>1032</v>
      </c>
      <c r="R189" s="232"/>
      <c r="S189" s="232" t="s">
        <v>610</v>
      </c>
      <c r="T189" s="232" t="s">
        <v>611</v>
      </c>
      <c r="U189" s="232" t="s">
        <v>40</v>
      </c>
      <c r="V189" s="232" t="s">
        <v>1040</v>
      </c>
      <c r="W189" s="232" t="s">
        <v>46</v>
      </c>
      <c r="X189" s="232">
        <f t="shared" si="2"/>
        <v>20</v>
      </c>
    </row>
    <row r="190" spans="1:24" ht="77" customHeight="1">
      <c r="A190" s="232" t="s">
        <v>616</v>
      </c>
      <c r="B190" s="232" t="s">
        <v>1509</v>
      </c>
      <c r="C190" s="232">
        <v>0</v>
      </c>
      <c r="D190" s="232">
        <v>0</v>
      </c>
      <c r="E190" s="232">
        <v>0</v>
      </c>
      <c r="F190" s="232">
        <v>0</v>
      </c>
      <c r="G190" s="232">
        <v>0</v>
      </c>
      <c r="H190" s="232">
        <v>1</v>
      </c>
      <c r="I190" s="232">
        <v>0</v>
      </c>
      <c r="J190" s="232">
        <v>1</v>
      </c>
      <c r="K190" s="232"/>
      <c r="L190" s="232" t="s">
        <v>608</v>
      </c>
      <c r="M190" s="232" t="s">
        <v>1040</v>
      </c>
      <c r="N190" s="232" t="s">
        <v>1436</v>
      </c>
      <c r="O190" s="232" t="s">
        <v>609</v>
      </c>
      <c r="P190" s="232" t="s">
        <v>1032</v>
      </c>
      <c r="Q190" s="232" t="s">
        <v>1032</v>
      </c>
      <c r="R190" s="232"/>
      <c r="S190" s="232" t="s">
        <v>610</v>
      </c>
      <c r="T190" s="232" t="s">
        <v>611</v>
      </c>
      <c r="U190" s="232" t="s">
        <v>40</v>
      </c>
      <c r="V190" s="232" t="s">
        <v>1040</v>
      </c>
      <c r="W190" s="232" t="s">
        <v>46</v>
      </c>
      <c r="X190" s="232">
        <f t="shared" ref="X190:X255" si="3">IF($W190="Critical Importance",20,IF($W190="Minor Importance",5,10))</f>
        <v>20</v>
      </c>
    </row>
    <row r="191" spans="1:24" ht="77" customHeight="1">
      <c r="A191" s="232" t="s">
        <v>618</v>
      </c>
      <c r="B191" s="232" t="s">
        <v>613</v>
      </c>
      <c r="C191" s="232">
        <v>0</v>
      </c>
      <c r="D191" s="232">
        <v>0</v>
      </c>
      <c r="E191" s="232">
        <v>0</v>
      </c>
      <c r="F191" s="232">
        <v>0</v>
      </c>
      <c r="G191" s="232">
        <v>0</v>
      </c>
      <c r="H191" s="232">
        <v>1</v>
      </c>
      <c r="I191" s="232">
        <v>0</v>
      </c>
      <c r="J191" s="232">
        <v>1</v>
      </c>
      <c r="K191" s="232"/>
      <c r="L191" s="232" t="s">
        <v>608</v>
      </c>
      <c r="M191" s="232" t="s">
        <v>1040</v>
      </c>
      <c r="N191" s="232" t="s">
        <v>1436</v>
      </c>
      <c r="O191" s="232" t="s">
        <v>609</v>
      </c>
      <c r="P191" s="232" t="s">
        <v>1032</v>
      </c>
      <c r="Q191" s="232" t="s">
        <v>1032</v>
      </c>
      <c r="R191" s="232"/>
      <c r="S191" s="232" t="s">
        <v>610</v>
      </c>
      <c r="T191" s="232" t="s">
        <v>611</v>
      </c>
      <c r="U191" s="232" t="s">
        <v>40</v>
      </c>
      <c r="V191" s="232" t="s">
        <v>1040</v>
      </c>
      <c r="W191" s="232" t="s">
        <v>75</v>
      </c>
      <c r="X191" s="232">
        <f t="shared" si="3"/>
        <v>10</v>
      </c>
    </row>
    <row r="192" spans="1:24" ht="77" customHeight="1">
      <c r="A192" s="232" t="s">
        <v>619</v>
      </c>
      <c r="B192" s="232" t="s">
        <v>615</v>
      </c>
      <c r="C192" s="232">
        <v>0</v>
      </c>
      <c r="D192" s="232">
        <v>0</v>
      </c>
      <c r="E192" s="232">
        <v>0</v>
      </c>
      <c r="F192" s="232">
        <v>0</v>
      </c>
      <c r="G192" s="232">
        <v>0</v>
      </c>
      <c r="H192" s="232">
        <v>1</v>
      </c>
      <c r="I192" s="232">
        <v>0</v>
      </c>
      <c r="J192" s="232">
        <v>1</v>
      </c>
      <c r="K192" s="232"/>
      <c r="L192" s="232" t="s">
        <v>608</v>
      </c>
      <c r="M192" s="232" t="s">
        <v>1040</v>
      </c>
      <c r="N192" s="232" t="s">
        <v>1436</v>
      </c>
      <c r="O192" s="232" t="s">
        <v>609</v>
      </c>
      <c r="P192" s="232" t="s">
        <v>1032</v>
      </c>
      <c r="Q192" s="232" t="s">
        <v>1032</v>
      </c>
      <c r="R192" s="232"/>
      <c r="S192" s="232" t="s">
        <v>610</v>
      </c>
      <c r="T192" s="232" t="s">
        <v>611</v>
      </c>
      <c r="U192" s="232" t="s">
        <v>40</v>
      </c>
      <c r="V192" s="232" t="s">
        <v>1040</v>
      </c>
      <c r="W192" s="232" t="s">
        <v>75</v>
      </c>
      <c r="X192" s="232">
        <f t="shared" si="3"/>
        <v>10</v>
      </c>
    </row>
    <row r="193" spans="1:24" ht="77" customHeight="1">
      <c r="A193" s="232" t="s">
        <v>620</v>
      </c>
      <c r="B193" s="232" t="s">
        <v>617</v>
      </c>
      <c r="C193" s="232">
        <v>0</v>
      </c>
      <c r="D193" s="232">
        <v>0</v>
      </c>
      <c r="E193" s="232">
        <v>0</v>
      </c>
      <c r="F193" s="232">
        <v>0</v>
      </c>
      <c r="G193" s="232">
        <v>0</v>
      </c>
      <c r="H193" s="232">
        <v>1</v>
      </c>
      <c r="I193" s="232">
        <v>0</v>
      </c>
      <c r="J193" s="232">
        <v>1</v>
      </c>
      <c r="K193" s="232"/>
      <c r="L193" s="232" t="s">
        <v>608</v>
      </c>
      <c r="M193" s="232" t="s">
        <v>1040</v>
      </c>
      <c r="N193" s="232" t="s">
        <v>1436</v>
      </c>
      <c r="O193" s="232" t="s">
        <v>609</v>
      </c>
      <c r="P193" s="232" t="s">
        <v>1032</v>
      </c>
      <c r="Q193" s="232" t="s">
        <v>1032</v>
      </c>
      <c r="R193" s="232"/>
      <c r="S193" s="232" t="s">
        <v>610</v>
      </c>
      <c r="T193" s="232" t="s">
        <v>611</v>
      </c>
      <c r="U193" s="232" t="s">
        <v>40</v>
      </c>
      <c r="V193" s="232" t="s">
        <v>1040</v>
      </c>
      <c r="W193" s="232" t="s">
        <v>75</v>
      </c>
      <c r="X193" s="232">
        <f t="shared" si="3"/>
        <v>10</v>
      </c>
    </row>
    <row r="194" spans="1:24" ht="77" customHeight="1">
      <c r="A194" s="232" t="s">
        <v>622</v>
      </c>
      <c r="B194" s="232" t="s">
        <v>1510</v>
      </c>
      <c r="C194" s="232">
        <v>0</v>
      </c>
      <c r="D194" s="232">
        <v>0</v>
      </c>
      <c r="E194" s="232">
        <v>0</v>
      </c>
      <c r="F194" s="232">
        <v>0</v>
      </c>
      <c r="G194" s="232">
        <v>0</v>
      </c>
      <c r="H194" s="232">
        <v>1</v>
      </c>
      <c r="I194" s="232">
        <v>0</v>
      </c>
      <c r="J194" s="232">
        <v>1</v>
      </c>
      <c r="K194" s="232"/>
      <c r="L194" s="232" t="s">
        <v>608</v>
      </c>
      <c r="M194" s="232" t="s">
        <v>1040</v>
      </c>
      <c r="N194" s="232" t="s">
        <v>1436</v>
      </c>
      <c r="O194" s="232" t="s">
        <v>609</v>
      </c>
      <c r="P194" s="232" t="s">
        <v>1032</v>
      </c>
      <c r="Q194" s="232" t="s">
        <v>1032</v>
      </c>
      <c r="R194" s="232"/>
      <c r="S194" s="232" t="s">
        <v>610</v>
      </c>
      <c r="T194" s="232" t="s">
        <v>611</v>
      </c>
      <c r="U194" s="232" t="s">
        <v>40</v>
      </c>
      <c r="V194" s="232" t="s">
        <v>1040</v>
      </c>
      <c r="W194" s="232" t="s">
        <v>75</v>
      </c>
      <c r="X194" s="232">
        <f t="shared" si="3"/>
        <v>10</v>
      </c>
    </row>
    <row r="195" spans="1:24" ht="77" customHeight="1">
      <c r="A195" s="232" t="s">
        <v>624</v>
      </c>
      <c r="B195" s="232" t="s">
        <v>621</v>
      </c>
      <c r="C195" s="232">
        <v>0</v>
      </c>
      <c r="D195" s="232">
        <v>0</v>
      </c>
      <c r="E195" s="232">
        <v>0</v>
      </c>
      <c r="F195" s="232">
        <v>0</v>
      </c>
      <c r="G195" s="232">
        <v>0</v>
      </c>
      <c r="H195" s="232">
        <v>1</v>
      </c>
      <c r="I195" s="232">
        <v>0</v>
      </c>
      <c r="J195" s="232">
        <v>1</v>
      </c>
      <c r="K195" s="232"/>
      <c r="L195" s="232" t="s">
        <v>608</v>
      </c>
      <c r="M195" s="232" t="s">
        <v>1040</v>
      </c>
      <c r="N195" s="232" t="s">
        <v>1436</v>
      </c>
      <c r="O195" s="232" t="s">
        <v>609</v>
      </c>
      <c r="P195" s="232" t="s">
        <v>1032</v>
      </c>
      <c r="Q195" s="232" t="s">
        <v>1032</v>
      </c>
      <c r="R195" s="232"/>
      <c r="S195" s="232" t="s">
        <v>610</v>
      </c>
      <c r="T195" s="232" t="s">
        <v>611</v>
      </c>
      <c r="U195" s="232" t="s">
        <v>40</v>
      </c>
      <c r="V195" s="232" t="s">
        <v>1040</v>
      </c>
      <c r="W195" s="232" t="s">
        <v>75</v>
      </c>
      <c r="X195" s="232">
        <f t="shared" si="3"/>
        <v>10</v>
      </c>
    </row>
    <row r="196" spans="1:24" ht="77" customHeight="1">
      <c r="A196" s="232" t="s">
        <v>626</v>
      </c>
      <c r="B196" s="232" t="s">
        <v>623</v>
      </c>
      <c r="C196" s="232">
        <v>0</v>
      </c>
      <c r="D196" s="232">
        <v>0</v>
      </c>
      <c r="E196" s="232">
        <v>0</v>
      </c>
      <c r="F196" s="232">
        <v>0</v>
      </c>
      <c r="G196" s="232">
        <v>0</v>
      </c>
      <c r="H196" s="232">
        <v>1</v>
      </c>
      <c r="I196" s="232">
        <v>0</v>
      </c>
      <c r="J196" s="232">
        <v>1</v>
      </c>
      <c r="K196" s="232"/>
      <c r="L196" s="232" t="s">
        <v>608</v>
      </c>
      <c r="M196" s="232" t="s">
        <v>1040</v>
      </c>
      <c r="N196" s="232" t="s">
        <v>1436</v>
      </c>
      <c r="O196" s="232" t="s">
        <v>609</v>
      </c>
      <c r="P196" s="232" t="s">
        <v>1032</v>
      </c>
      <c r="Q196" s="232" t="s">
        <v>1032</v>
      </c>
      <c r="R196" s="232"/>
      <c r="S196" s="232" t="s">
        <v>610</v>
      </c>
      <c r="T196" s="232" t="s">
        <v>611</v>
      </c>
      <c r="U196" s="232" t="s">
        <v>40</v>
      </c>
      <c r="V196" s="232" t="s">
        <v>1040</v>
      </c>
      <c r="W196" s="232" t="s">
        <v>75</v>
      </c>
      <c r="X196" s="232">
        <f t="shared" si="3"/>
        <v>10</v>
      </c>
    </row>
    <row r="197" spans="1:24" ht="77" customHeight="1">
      <c r="A197" s="232" t="s">
        <v>628</v>
      </c>
      <c r="B197" s="232" t="s">
        <v>625</v>
      </c>
      <c r="C197" s="232">
        <v>0</v>
      </c>
      <c r="D197" s="232">
        <v>0</v>
      </c>
      <c r="E197" s="232">
        <v>0</v>
      </c>
      <c r="F197" s="232">
        <v>0</v>
      </c>
      <c r="G197" s="232">
        <v>0</v>
      </c>
      <c r="H197" s="232">
        <v>1</v>
      </c>
      <c r="I197" s="232">
        <v>0</v>
      </c>
      <c r="J197" s="232">
        <v>1</v>
      </c>
      <c r="K197" s="232"/>
      <c r="L197" s="232" t="s">
        <v>608</v>
      </c>
      <c r="M197" s="232" t="s">
        <v>1040</v>
      </c>
      <c r="N197" s="232" t="s">
        <v>1436</v>
      </c>
      <c r="O197" s="232" t="s">
        <v>609</v>
      </c>
      <c r="P197" s="232" t="s">
        <v>1032</v>
      </c>
      <c r="Q197" s="232" t="s">
        <v>1032</v>
      </c>
      <c r="R197" s="232"/>
      <c r="S197" s="232" t="s">
        <v>610</v>
      </c>
      <c r="T197" s="232" t="s">
        <v>611</v>
      </c>
      <c r="U197" s="232" t="s">
        <v>40</v>
      </c>
      <c r="V197" s="232" t="s">
        <v>1040</v>
      </c>
      <c r="W197" s="232" t="s">
        <v>75</v>
      </c>
      <c r="X197" s="232">
        <f t="shared" si="3"/>
        <v>10</v>
      </c>
    </row>
    <row r="198" spans="1:24" ht="77" customHeight="1">
      <c r="A198" s="232" t="s">
        <v>630</v>
      </c>
      <c r="B198" s="232" t="s">
        <v>627</v>
      </c>
      <c r="C198" s="232">
        <v>0</v>
      </c>
      <c r="D198" s="232">
        <v>0</v>
      </c>
      <c r="E198" s="232">
        <v>0</v>
      </c>
      <c r="F198" s="232">
        <v>0</v>
      </c>
      <c r="G198" s="232">
        <v>0</v>
      </c>
      <c r="H198" s="232">
        <v>1</v>
      </c>
      <c r="I198" s="232">
        <v>0</v>
      </c>
      <c r="J198" s="232">
        <v>1</v>
      </c>
      <c r="K198" s="232"/>
      <c r="L198" s="232" t="s">
        <v>608</v>
      </c>
      <c r="M198" s="232" t="s">
        <v>1040</v>
      </c>
      <c r="N198" s="232" t="s">
        <v>1436</v>
      </c>
      <c r="O198" s="232" t="s">
        <v>609</v>
      </c>
      <c r="P198" s="232" t="s">
        <v>1032</v>
      </c>
      <c r="Q198" s="232" t="s">
        <v>1032</v>
      </c>
      <c r="R198" s="232"/>
      <c r="S198" s="232" t="s">
        <v>610</v>
      </c>
      <c r="T198" s="232" t="s">
        <v>611</v>
      </c>
      <c r="U198" s="232" t="s">
        <v>40</v>
      </c>
      <c r="V198" s="232" t="s">
        <v>1040</v>
      </c>
      <c r="W198" s="232" t="s">
        <v>75</v>
      </c>
      <c r="X198" s="232">
        <f t="shared" si="3"/>
        <v>10</v>
      </c>
    </row>
    <row r="199" spans="1:24" ht="77" customHeight="1">
      <c r="A199" s="232" t="s">
        <v>632</v>
      </c>
      <c r="B199" s="232" t="s">
        <v>629</v>
      </c>
      <c r="C199" s="232">
        <v>0</v>
      </c>
      <c r="D199" s="232">
        <v>0</v>
      </c>
      <c r="E199" s="232">
        <v>0</v>
      </c>
      <c r="F199" s="232">
        <v>0</v>
      </c>
      <c r="G199" s="232">
        <v>0</v>
      </c>
      <c r="H199" s="232">
        <v>1</v>
      </c>
      <c r="I199" s="232">
        <v>0</v>
      </c>
      <c r="J199" s="232">
        <v>1</v>
      </c>
      <c r="K199" s="232"/>
      <c r="L199" s="232" t="s">
        <v>608</v>
      </c>
      <c r="M199" s="232" t="s">
        <v>1040</v>
      </c>
      <c r="N199" s="232" t="s">
        <v>1436</v>
      </c>
      <c r="O199" s="232" t="s">
        <v>609</v>
      </c>
      <c r="P199" s="232" t="s">
        <v>1032</v>
      </c>
      <c r="Q199" s="232" t="s">
        <v>1032</v>
      </c>
      <c r="R199" s="232"/>
      <c r="S199" s="232" t="s">
        <v>610</v>
      </c>
      <c r="T199" s="232" t="s">
        <v>611</v>
      </c>
      <c r="U199" s="232" t="s">
        <v>40</v>
      </c>
      <c r="V199" s="232" t="s">
        <v>1040</v>
      </c>
      <c r="W199" s="232" t="s">
        <v>75</v>
      </c>
      <c r="X199" s="232">
        <f t="shared" si="3"/>
        <v>10</v>
      </c>
    </row>
    <row r="200" spans="1:24" ht="77" customHeight="1">
      <c r="A200" s="232" t="s">
        <v>634</v>
      </c>
      <c r="B200" s="232" t="s">
        <v>631</v>
      </c>
      <c r="C200" s="232">
        <v>0</v>
      </c>
      <c r="D200" s="232">
        <v>0</v>
      </c>
      <c r="E200" s="232">
        <v>0</v>
      </c>
      <c r="F200" s="232">
        <v>0</v>
      </c>
      <c r="G200" s="232">
        <v>0</v>
      </c>
      <c r="H200" s="232">
        <v>1</v>
      </c>
      <c r="I200" s="232">
        <v>0</v>
      </c>
      <c r="J200" s="232">
        <v>1</v>
      </c>
      <c r="K200" s="232"/>
      <c r="L200" s="232" t="s">
        <v>608</v>
      </c>
      <c r="M200" s="232" t="s">
        <v>1040</v>
      </c>
      <c r="N200" s="232" t="s">
        <v>1436</v>
      </c>
      <c r="O200" s="232" t="s">
        <v>609</v>
      </c>
      <c r="P200" s="232" t="s">
        <v>1032</v>
      </c>
      <c r="Q200" s="232" t="s">
        <v>1032</v>
      </c>
      <c r="R200" s="232"/>
      <c r="S200" s="232" t="s">
        <v>610</v>
      </c>
      <c r="T200" s="232" t="s">
        <v>611</v>
      </c>
      <c r="U200" s="232" t="s">
        <v>149</v>
      </c>
      <c r="V200" s="232" t="s">
        <v>1040</v>
      </c>
      <c r="W200" s="232" t="s">
        <v>75</v>
      </c>
      <c r="X200" s="232">
        <f t="shared" si="3"/>
        <v>10</v>
      </c>
    </row>
    <row r="201" spans="1:24" ht="77" customHeight="1">
      <c r="A201" s="232" t="s">
        <v>636</v>
      </c>
      <c r="B201" s="232" t="s">
        <v>633</v>
      </c>
      <c r="C201" s="232">
        <v>0</v>
      </c>
      <c r="D201" s="232">
        <v>0</v>
      </c>
      <c r="E201" s="232">
        <v>0</v>
      </c>
      <c r="F201" s="232">
        <v>0</v>
      </c>
      <c r="G201" s="232">
        <v>0</v>
      </c>
      <c r="H201" s="232">
        <v>1</v>
      </c>
      <c r="I201" s="232">
        <v>0</v>
      </c>
      <c r="J201" s="232">
        <v>1</v>
      </c>
      <c r="K201" s="232"/>
      <c r="L201" s="232" t="s">
        <v>608</v>
      </c>
      <c r="M201" s="232" t="s">
        <v>1040</v>
      </c>
      <c r="N201" s="232" t="s">
        <v>1436</v>
      </c>
      <c r="O201" s="232" t="s">
        <v>609</v>
      </c>
      <c r="P201" s="232" t="s">
        <v>1032</v>
      </c>
      <c r="Q201" s="232" t="s">
        <v>1032</v>
      </c>
      <c r="R201" s="232"/>
      <c r="S201" s="232" t="s">
        <v>610</v>
      </c>
      <c r="T201" s="232" t="s">
        <v>611</v>
      </c>
      <c r="U201" s="232" t="s">
        <v>40</v>
      </c>
      <c r="V201" s="232" t="s">
        <v>1040</v>
      </c>
      <c r="W201" s="232" t="s">
        <v>75</v>
      </c>
      <c r="X201" s="232">
        <f t="shared" si="3"/>
        <v>10</v>
      </c>
    </row>
    <row r="202" spans="1:24" ht="77" customHeight="1">
      <c r="A202" s="232" t="s">
        <v>638</v>
      </c>
      <c r="B202" s="232" t="s">
        <v>635</v>
      </c>
      <c r="C202" s="232">
        <v>0</v>
      </c>
      <c r="D202" s="232">
        <v>0</v>
      </c>
      <c r="E202" s="232">
        <v>0</v>
      </c>
      <c r="F202" s="232">
        <v>0</v>
      </c>
      <c r="G202" s="232">
        <v>0</v>
      </c>
      <c r="H202" s="232">
        <v>1</v>
      </c>
      <c r="I202" s="232">
        <v>0</v>
      </c>
      <c r="J202" s="232">
        <v>1</v>
      </c>
      <c r="K202" s="232"/>
      <c r="L202" s="232" t="s">
        <v>608</v>
      </c>
      <c r="M202" s="232" t="s">
        <v>1040</v>
      </c>
      <c r="N202" s="232" t="s">
        <v>1436</v>
      </c>
      <c r="O202" s="232" t="s">
        <v>609</v>
      </c>
      <c r="P202" s="232" t="s">
        <v>1032</v>
      </c>
      <c r="Q202" s="232" t="s">
        <v>1032</v>
      </c>
      <c r="R202" s="232"/>
      <c r="S202" s="232" t="s">
        <v>610</v>
      </c>
      <c r="T202" s="232" t="s">
        <v>611</v>
      </c>
      <c r="U202" s="232" t="s">
        <v>40</v>
      </c>
      <c r="V202" s="232" t="s">
        <v>1040</v>
      </c>
      <c r="W202" s="232" t="s">
        <v>75</v>
      </c>
      <c r="X202" s="232">
        <f t="shared" si="3"/>
        <v>10</v>
      </c>
    </row>
    <row r="203" spans="1:24" ht="77" customHeight="1">
      <c r="A203" s="232" t="s">
        <v>640</v>
      </c>
      <c r="B203" s="232" t="s">
        <v>637</v>
      </c>
      <c r="C203" s="232">
        <v>0</v>
      </c>
      <c r="D203" s="232">
        <v>0</v>
      </c>
      <c r="E203" s="232">
        <v>0</v>
      </c>
      <c r="F203" s="232">
        <v>0</v>
      </c>
      <c r="G203" s="232">
        <v>0</v>
      </c>
      <c r="H203" s="232">
        <v>1</v>
      </c>
      <c r="I203" s="232">
        <v>0</v>
      </c>
      <c r="J203" s="232">
        <v>1</v>
      </c>
      <c r="K203" s="232"/>
      <c r="L203" s="232" t="s">
        <v>608</v>
      </c>
      <c r="M203" s="232" t="s">
        <v>1040</v>
      </c>
      <c r="N203" s="232" t="s">
        <v>1436</v>
      </c>
      <c r="O203" s="232" t="s">
        <v>609</v>
      </c>
      <c r="P203" s="232" t="s">
        <v>1032</v>
      </c>
      <c r="Q203" s="232" t="s">
        <v>1032</v>
      </c>
      <c r="R203" s="232"/>
      <c r="S203" s="232" t="s">
        <v>610</v>
      </c>
      <c r="T203" s="232" t="s">
        <v>611</v>
      </c>
      <c r="U203" s="232" t="s">
        <v>40</v>
      </c>
      <c r="V203" s="232" t="s">
        <v>1040</v>
      </c>
      <c r="W203" s="232" t="s">
        <v>75</v>
      </c>
      <c r="X203" s="232">
        <f t="shared" si="3"/>
        <v>10</v>
      </c>
    </row>
    <row r="204" spans="1:24" ht="77" customHeight="1">
      <c r="A204" s="232" t="s">
        <v>642</v>
      </c>
      <c r="B204" s="232" t="s">
        <v>639</v>
      </c>
      <c r="C204" s="232">
        <v>0</v>
      </c>
      <c r="D204" s="232">
        <v>0</v>
      </c>
      <c r="E204" s="232">
        <v>0</v>
      </c>
      <c r="F204" s="232">
        <v>0</v>
      </c>
      <c r="G204" s="232">
        <v>0</v>
      </c>
      <c r="H204" s="232">
        <v>1</v>
      </c>
      <c r="I204" s="232">
        <v>0</v>
      </c>
      <c r="J204" s="232">
        <v>1</v>
      </c>
      <c r="K204" s="232"/>
      <c r="L204" s="232" t="s">
        <v>608</v>
      </c>
      <c r="M204" s="232" t="s">
        <v>1040</v>
      </c>
      <c r="N204" s="232" t="s">
        <v>1436</v>
      </c>
      <c r="O204" s="232" t="s">
        <v>609</v>
      </c>
      <c r="P204" s="232" t="s">
        <v>1032</v>
      </c>
      <c r="Q204" s="232" t="s">
        <v>1032</v>
      </c>
      <c r="R204" s="232"/>
      <c r="S204" s="232" t="s">
        <v>610</v>
      </c>
      <c r="T204" s="232" t="s">
        <v>611</v>
      </c>
      <c r="U204" s="232" t="s">
        <v>149</v>
      </c>
      <c r="V204" s="232" t="s">
        <v>1040</v>
      </c>
      <c r="W204" s="232" t="s">
        <v>75</v>
      </c>
      <c r="X204" s="232">
        <f t="shared" si="3"/>
        <v>10</v>
      </c>
    </row>
    <row r="205" spans="1:24" ht="77" customHeight="1">
      <c r="A205" s="232" t="s">
        <v>643</v>
      </c>
      <c r="B205" s="232" t="s">
        <v>641</v>
      </c>
      <c r="C205" s="232">
        <v>0</v>
      </c>
      <c r="D205" s="232">
        <v>0</v>
      </c>
      <c r="E205" s="232">
        <v>0</v>
      </c>
      <c r="F205" s="232">
        <v>0</v>
      </c>
      <c r="G205" s="232">
        <v>0</v>
      </c>
      <c r="H205" s="232">
        <v>1</v>
      </c>
      <c r="I205" s="232">
        <v>0</v>
      </c>
      <c r="J205" s="232">
        <v>1</v>
      </c>
      <c r="K205" s="232"/>
      <c r="L205" s="232" t="s">
        <v>608</v>
      </c>
      <c r="M205" s="232" t="s">
        <v>1040</v>
      </c>
      <c r="N205" s="232" t="s">
        <v>1436</v>
      </c>
      <c r="O205" s="232" t="s">
        <v>609</v>
      </c>
      <c r="P205" s="232" t="s">
        <v>1032</v>
      </c>
      <c r="Q205" s="232" t="s">
        <v>1032</v>
      </c>
      <c r="R205" s="232"/>
      <c r="S205" s="232" t="s">
        <v>610</v>
      </c>
      <c r="T205" s="232" t="s">
        <v>611</v>
      </c>
      <c r="U205" s="232" t="s">
        <v>40</v>
      </c>
      <c r="V205" s="232" t="s">
        <v>1040</v>
      </c>
      <c r="W205" s="232" t="s">
        <v>75</v>
      </c>
      <c r="X205" s="232">
        <f t="shared" si="3"/>
        <v>10</v>
      </c>
    </row>
    <row r="206" spans="1:24" ht="77" customHeight="1">
      <c r="A206" s="232" t="s">
        <v>645</v>
      </c>
      <c r="B206" s="232" t="s">
        <v>1437</v>
      </c>
      <c r="C206" s="232">
        <v>0</v>
      </c>
      <c r="D206" s="232">
        <v>0</v>
      </c>
      <c r="E206" s="232">
        <v>0</v>
      </c>
      <c r="F206" s="232">
        <v>0</v>
      </c>
      <c r="G206" s="232">
        <v>0</v>
      </c>
      <c r="H206" s="232">
        <v>1</v>
      </c>
      <c r="I206" s="232">
        <v>0</v>
      </c>
      <c r="J206" s="232">
        <v>1</v>
      </c>
      <c r="K206" s="232"/>
      <c r="L206" s="232" t="s">
        <v>608</v>
      </c>
      <c r="M206" s="232" t="s">
        <v>1040</v>
      </c>
      <c r="N206" s="232" t="s">
        <v>1436</v>
      </c>
      <c r="O206" s="232" t="s">
        <v>609</v>
      </c>
      <c r="P206" s="232" t="s">
        <v>1032</v>
      </c>
      <c r="Q206" s="232" t="s">
        <v>1032</v>
      </c>
      <c r="R206" s="232"/>
      <c r="S206" s="232" t="s">
        <v>610</v>
      </c>
      <c r="T206" s="232" t="s">
        <v>611</v>
      </c>
      <c r="U206" s="232" t="s">
        <v>40</v>
      </c>
      <c r="V206" s="232" t="s">
        <v>1040</v>
      </c>
      <c r="W206" s="232" t="s">
        <v>75</v>
      </c>
      <c r="X206" s="232">
        <f t="shared" si="3"/>
        <v>10</v>
      </c>
    </row>
    <row r="207" spans="1:24" ht="77" customHeight="1">
      <c r="A207" s="232" t="s">
        <v>646</v>
      </c>
      <c r="B207" s="232" t="s">
        <v>644</v>
      </c>
      <c r="C207" s="232">
        <v>0</v>
      </c>
      <c r="D207" s="232">
        <v>0</v>
      </c>
      <c r="E207" s="232">
        <v>0</v>
      </c>
      <c r="F207" s="232">
        <v>0</v>
      </c>
      <c r="G207" s="232">
        <v>0</v>
      </c>
      <c r="H207" s="232">
        <v>1</v>
      </c>
      <c r="I207" s="232">
        <v>0</v>
      </c>
      <c r="J207" s="232">
        <v>1</v>
      </c>
      <c r="K207" s="232"/>
      <c r="L207" s="232" t="s">
        <v>608</v>
      </c>
      <c r="M207" s="232" t="s">
        <v>1040</v>
      </c>
      <c r="N207" s="232" t="s">
        <v>1436</v>
      </c>
      <c r="O207" s="232" t="s">
        <v>609</v>
      </c>
      <c r="P207" s="232" t="s">
        <v>1032</v>
      </c>
      <c r="Q207" s="232" t="s">
        <v>1032</v>
      </c>
      <c r="R207" s="232"/>
      <c r="S207" s="232" t="s">
        <v>610</v>
      </c>
      <c r="T207" s="232" t="s">
        <v>611</v>
      </c>
      <c r="U207" s="232" t="s">
        <v>40</v>
      </c>
      <c r="V207" s="232" t="s">
        <v>1040</v>
      </c>
      <c r="W207" s="232" t="s">
        <v>75</v>
      </c>
      <c r="X207" s="232">
        <f t="shared" si="3"/>
        <v>10</v>
      </c>
    </row>
    <row r="208" spans="1:24" ht="77" customHeight="1">
      <c r="A208" s="232" t="s">
        <v>647</v>
      </c>
      <c r="B208" s="232" t="s">
        <v>1180</v>
      </c>
      <c r="C208" s="232">
        <v>0</v>
      </c>
      <c r="D208" s="232">
        <v>0</v>
      </c>
      <c r="E208" s="232">
        <v>0</v>
      </c>
      <c r="F208" s="232">
        <v>0</v>
      </c>
      <c r="G208" s="232">
        <v>0</v>
      </c>
      <c r="H208" s="232">
        <v>1</v>
      </c>
      <c r="I208" s="232">
        <v>0</v>
      </c>
      <c r="J208" s="232">
        <v>1</v>
      </c>
      <c r="K208" s="232"/>
      <c r="L208" s="232" t="s">
        <v>608</v>
      </c>
      <c r="M208" s="232" t="s">
        <v>1040</v>
      </c>
      <c r="N208" s="232" t="s">
        <v>1436</v>
      </c>
      <c r="O208" s="232" t="s">
        <v>609</v>
      </c>
      <c r="P208" s="232" t="s">
        <v>1032</v>
      </c>
      <c r="Q208" s="232" t="s">
        <v>1032</v>
      </c>
      <c r="R208" s="232"/>
      <c r="S208" s="232" t="s">
        <v>610</v>
      </c>
      <c r="T208" s="232" t="s">
        <v>611</v>
      </c>
      <c r="U208" s="232" t="s">
        <v>40</v>
      </c>
      <c r="V208" s="232" t="s">
        <v>1040</v>
      </c>
      <c r="W208" s="232" t="s">
        <v>75</v>
      </c>
      <c r="X208" s="232">
        <f t="shared" si="3"/>
        <v>10</v>
      </c>
    </row>
    <row r="209" spans="1:24" ht="77" customHeight="1">
      <c r="A209" s="232" t="s">
        <v>649</v>
      </c>
      <c r="B209" s="232" t="s">
        <v>1616</v>
      </c>
      <c r="C209" s="232">
        <v>0</v>
      </c>
      <c r="D209" s="232">
        <v>0</v>
      </c>
      <c r="E209" s="232">
        <v>0</v>
      </c>
      <c r="F209" s="232">
        <v>0</v>
      </c>
      <c r="G209" s="232">
        <v>0</v>
      </c>
      <c r="H209" s="232">
        <v>1</v>
      </c>
      <c r="I209" s="232">
        <v>0</v>
      </c>
      <c r="J209" s="232">
        <v>1</v>
      </c>
      <c r="K209" s="232"/>
      <c r="L209" s="232" t="s">
        <v>608</v>
      </c>
      <c r="M209" s="232" t="s">
        <v>1040</v>
      </c>
      <c r="N209" s="232" t="s">
        <v>1436</v>
      </c>
      <c r="O209" s="232" t="s">
        <v>609</v>
      </c>
      <c r="P209" s="232" t="s">
        <v>1618</v>
      </c>
      <c r="Q209" s="232" t="s">
        <v>1618</v>
      </c>
      <c r="R209" s="232"/>
      <c r="S209" s="232" t="s">
        <v>610</v>
      </c>
      <c r="T209" s="232" t="s">
        <v>611</v>
      </c>
      <c r="U209" s="232" t="s">
        <v>40</v>
      </c>
      <c r="V209" s="232" t="s">
        <v>1040</v>
      </c>
      <c r="W209" s="232" t="s">
        <v>75</v>
      </c>
      <c r="X209" s="232">
        <f t="shared" si="3"/>
        <v>10</v>
      </c>
    </row>
    <row r="210" spans="1:24" ht="77" customHeight="1">
      <c r="A210" s="232" t="s">
        <v>651</v>
      </c>
      <c r="B210" s="232" t="s">
        <v>648</v>
      </c>
      <c r="C210" s="232">
        <v>0</v>
      </c>
      <c r="D210" s="232">
        <v>0</v>
      </c>
      <c r="E210" s="232">
        <v>0</v>
      </c>
      <c r="F210" s="232">
        <v>0</v>
      </c>
      <c r="G210" s="232">
        <v>0</v>
      </c>
      <c r="H210" s="232">
        <v>1</v>
      </c>
      <c r="I210" s="232">
        <v>0</v>
      </c>
      <c r="J210" s="232">
        <v>1</v>
      </c>
      <c r="K210" s="232"/>
      <c r="L210" s="232" t="s">
        <v>608</v>
      </c>
      <c r="M210" s="232" t="s">
        <v>1040</v>
      </c>
      <c r="N210" s="232" t="s">
        <v>1436</v>
      </c>
      <c r="O210" s="232" t="s">
        <v>609</v>
      </c>
      <c r="P210" s="232" t="s">
        <v>1032</v>
      </c>
      <c r="Q210" s="232" t="s">
        <v>1032</v>
      </c>
      <c r="R210" s="232"/>
      <c r="S210" s="232" t="s">
        <v>610</v>
      </c>
      <c r="T210" s="232" t="s">
        <v>611</v>
      </c>
      <c r="U210" s="232" t="s">
        <v>40</v>
      </c>
      <c r="V210" s="232" t="s">
        <v>1040</v>
      </c>
      <c r="W210" s="232" t="s">
        <v>75</v>
      </c>
      <c r="X210" s="232">
        <f t="shared" si="3"/>
        <v>10</v>
      </c>
    </row>
    <row r="211" spans="1:24" ht="77" customHeight="1">
      <c r="A211" s="232" t="s">
        <v>653</v>
      </c>
      <c r="B211" s="232" t="s">
        <v>650</v>
      </c>
      <c r="C211" s="232">
        <v>0</v>
      </c>
      <c r="D211" s="232">
        <v>0</v>
      </c>
      <c r="E211" s="232">
        <v>0</v>
      </c>
      <c r="F211" s="232">
        <v>0</v>
      </c>
      <c r="G211" s="232">
        <v>0</v>
      </c>
      <c r="H211" s="232">
        <v>1</v>
      </c>
      <c r="I211" s="232">
        <v>0</v>
      </c>
      <c r="J211" s="232">
        <v>1</v>
      </c>
      <c r="K211" s="232"/>
      <c r="L211" s="232" t="s">
        <v>608</v>
      </c>
      <c r="M211" s="232" t="s">
        <v>1040</v>
      </c>
      <c r="N211" s="232" t="s">
        <v>1436</v>
      </c>
      <c r="O211" s="232" t="s">
        <v>609</v>
      </c>
      <c r="P211" s="232" t="s">
        <v>1032</v>
      </c>
      <c r="Q211" s="232" t="s">
        <v>1032</v>
      </c>
      <c r="R211" s="232"/>
      <c r="S211" s="232" t="s">
        <v>610</v>
      </c>
      <c r="T211" s="232" t="s">
        <v>611</v>
      </c>
      <c r="U211" s="232" t="s">
        <v>40</v>
      </c>
      <c r="V211" s="232" t="s">
        <v>1040</v>
      </c>
      <c r="W211" s="232" t="s">
        <v>75</v>
      </c>
      <c r="X211" s="232">
        <f t="shared" si="3"/>
        <v>10</v>
      </c>
    </row>
    <row r="212" spans="1:24" ht="77" customHeight="1">
      <c r="A212" s="232" t="s">
        <v>655</v>
      </c>
      <c r="B212" s="232" t="s">
        <v>654</v>
      </c>
      <c r="C212" s="232">
        <v>0</v>
      </c>
      <c r="D212" s="232">
        <v>0</v>
      </c>
      <c r="E212" s="232">
        <v>0</v>
      </c>
      <c r="F212" s="232">
        <v>0</v>
      </c>
      <c r="G212" s="232">
        <v>0</v>
      </c>
      <c r="H212" s="232">
        <v>1</v>
      </c>
      <c r="I212" s="232">
        <v>0</v>
      </c>
      <c r="J212" s="232">
        <v>1</v>
      </c>
      <c r="K212" s="232"/>
      <c r="L212" s="232" t="s">
        <v>608</v>
      </c>
      <c r="M212" s="232" t="s">
        <v>1040</v>
      </c>
      <c r="N212" s="232" t="s">
        <v>1436</v>
      </c>
      <c r="O212" s="232" t="s">
        <v>609</v>
      </c>
      <c r="P212" s="232" t="s">
        <v>1032</v>
      </c>
      <c r="Q212" s="232" t="s">
        <v>1032</v>
      </c>
      <c r="R212" s="232"/>
      <c r="S212" s="232" t="s">
        <v>610</v>
      </c>
      <c r="T212" s="232" t="s">
        <v>611</v>
      </c>
      <c r="U212" s="232" t="s">
        <v>40</v>
      </c>
      <c r="V212" s="232" t="s">
        <v>1040</v>
      </c>
      <c r="W212" s="232" t="s">
        <v>75</v>
      </c>
      <c r="X212" s="232">
        <f t="shared" si="3"/>
        <v>10</v>
      </c>
    </row>
    <row r="213" spans="1:24" ht="77" customHeight="1">
      <c r="A213" s="232" t="s">
        <v>656</v>
      </c>
      <c r="B213" s="232" t="s">
        <v>657</v>
      </c>
      <c r="C213" s="232">
        <v>0</v>
      </c>
      <c r="D213" s="232">
        <v>0</v>
      </c>
      <c r="E213" s="232">
        <v>0</v>
      </c>
      <c r="F213" s="232">
        <v>0</v>
      </c>
      <c r="G213" s="232">
        <v>0</v>
      </c>
      <c r="H213" s="232">
        <v>1</v>
      </c>
      <c r="I213" s="232">
        <v>0</v>
      </c>
      <c r="J213" s="232">
        <v>1</v>
      </c>
      <c r="K213" s="232"/>
      <c r="L213" s="232" t="s">
        <v>608</v>
      </c>
      <c r="M213" s="232" t="s">
        <v>1040</v>
      </c>
      <c r="N213" s="232" t="s">
        <v>1436</v>
      </c>
      <c r="O213" s="232" t="s">
        <v>609</v>
      </c>
      <c r="P213" s="232" t="s">
        <v>1032</v>
      </c>
      <c r="Q213" s="232" t="s">
        <v>1032</v>
      </c>
      <c r="R213" s="232"/>
      <c r="S213" s="232" t="s">
        <v>610</v>
      </c>
      <c r="T213" s="232" t="s">
        <v>611</v>
      </c>
      <c r="U213" s="232" t="s">
        <v>40</v>
      </c>
      <c r="V213" s="232" t="s">
        <v>1040</v>
      </c>
      <c r="W213" s="232" t="s">
        <v>75</v>
      </c>
      <c r="X213" s="232">
        <f t="shared" si="3"/>
        <v>10</v>
      </c>
    </row>
    <row r="214" spans="1:24" ht="77" customHeight="1">
      <c r="A214" s="232" t="s">
        <v>658</v>
      </c>
      <c r="B214" s="232" t="s">
        <v>659</v>
      </c>
      <c r="C214" s="232">
        <v>0</v>
      </c>
      <c r="D214" s="232">
        <v>0</v>
      </c>
      <c r="E214" s="232">
        <v>0</v>
      </c>
      <c r="F214" s="232">
        <v>0</v>
      </c>
      <c r="G214" s="232">
        <v>0</v>
      </c>
      <c r="H214" s="232">
        <v>1</v>
      </c>
      <c r="I214" s="232">
        <v>0</v>
      </c>
      <c r="J214" s="232">
        <v>1</v>
      </c>
      <c r="K214" s="232"/>
      <c r="L214" s="232" t="s">
        <v>608</v>
      </c>
      <c r="M214" s="232" t="s">
        <v>1040</v>
      </c>
      <c r="N214" s="232" t="s">
        <v>1436</v>
      </c>
      <c r="O214" s="232" t="s">
        <v>609</v>
      </c>
      <c r="P214" s="232" t="s">
        <v>1032</v>
      </c>
      <c r="Q214" s="232" t="s">
        <v>1032</v>
      </c>
      <c r="R214" s="232"/>
      <c r="S214" s="232" t="s">
        <v>610</v>
      </c>
      <c r="T214" s="232" t="s">
        <v>611</v>
      </c>
      <c r="U214" s="232" t="s">
        <v>40</v>
      </c>
      <c r="V214" s="232" t="s">
        <v>1040</v>
      </c>
      <c r="W214" s="232" t="s">
        <v>75</v>
      </c>
      <c r="X214" s="232">
        <f t="shared" si="3"/>
        <v>10</v>
      </c>
    </row>
    <row r="215" spans="1:24" ht="77" customHeight="1">
      <c r="A215" s="232" t="s">
        <v>660</v>
      </c>
      <c r="B215" s="232" t="s">
        <v>652</v>
      </c>
      <c r="C215" s="232">
        <v>0</v>
      </c>
      <c r="D215" s="232">
        <v>0</v>
      </c>
      <c r="E215" s="232">
        <v>0</v>
      </c>
      <c r="F215" s="232">
        <v>0</v>
      </c>
      <c r="G215" s="232">
        <v>0</v>
      </c>
      <c r="H215" s="232">
        <v>1</v>
      </c>
      <c r="I215" s="232">
        <v>0</v>
      </c>
      <c r="J215" s="232">
        <v>1</v>
      </c>
      <c r="K215" s="232"/>
      <c r="L215" s="232" t="s">
        <v>608</v>
      </c>
      <c r="M215" s="232" t="s">
        <v>1040</v>
      </c>
      <c r="N215" s="232" t="s">
        <v>1436</v>
      </c>
      <c r="O215" s="232" t="s">
        <v>609</v>
      </c>
      <c r="P215" s="232" t="s">
        <v>1032</v>
      </c>
      <c r="Q215" s="232" t="s">
        <v>1032</v>
      </c>
      <c r="R215" s="232"/>
      <c r="S215" s="232" t="s">
        <v>610</v>
      </c>
      <c r="T215" s="232" t="s">
        <v>611</v>
      </c>
      <c r="U215" s="232" t="s">
        <v>40</v>
      </c>
      <c r="V215" s="232" t="s">
        <v>1040</v>
      </c>
      <c r="W215" s="232" t="s">
        <v>41</v>
      </c>
      <c r="X215" s="232">
        <f t="shared" si="3"/>
        <v>5</v>
      </c>
    </row>
    <row r="216" spans="1:24" ht="60.75" customHeight="1">
      <c r="A216" s="232" t="s">
        <v>661</v>
      </c>
      <c r="B216" s="232" t="s">
        <v>1074</v>
      </c>
      <c r="C216" s="232">
        <v>0</v>
      </c>
      <c r="D216" s="232">
        <v>0</v>
      </c>
      <c r="E216" s="232">
        <v>0</v>
      </c>
      <c r="F216" s="232">
        <v>0</v>
      </c>
      <c r="G216" s="232">
        <v>0</v>
      </c>
      <c r="H216" s="232">
        <v>1</v>
      </c>
      <c r="I216" s="232">
        <v>0</v>
      </c>
      <c r="J216" s="232">
        <v>1</v>
      </c>
      <c r="K216" s="232"/>
      <c r="L216" s="232" t="s">
        <v>148</v>
      </c>
      <c r="M216" s="232" t="s">
        <v>1040</v>
      </c>
      <c r="N216" s="232" t="s">
        <v>1438</v>
      </c>
      <c r="O216" s="232" t="s">
        <v>662</v>
      </c>
      <c r="P216" s="232" t="s">
        <v>1032</v>
      </c>
      <c r="Q216" s="232" t="s">
        <v>1032</v>
      </c>
      <c r="R216" s="232"/>
      <c r="S216" s="232" t="s">
        <v>663</v>
      </c>
      <c r="T216" s="232" t="s">
        <v>664</v>
      </c>
      <c r="U216" s="232" t="s">
        <v>40</v>
      </c>
      <c r="V216" s="232" t="s">
        <v>1040</v>
      </c>
      <c r="W216" s="232" t="s">
        <v>46</v>
      </c>
      <c r="X216" s="232">
        <f t="shared" si="3"/>
        <v>20</v>
      </c>
    </row>
    <row r="217" spans="1:24" ht="60">
      <c r="A217" s="232" t="s">
        <v>665</v>
      </c>
      <c r="B217" s="232" t="s">
        <v>1075</v>
      </c>
      <c r="C217" s="232">
        <v>0</v>
      </c>
      <c r="D217" s="232">
        <v>0</v>
      </c>
      <c r="E217" s="232">
        <v>0</v>
      </c>
      <c r="F217" s="232">
        <v>0</v>
      </c>
      <c r="G217" s="232">
        <v>0</v>
      </c>
      <c r="H217" s="232">
        <v>1</v>
      </c>
      <c r="I217" s="232">
        <v>0</v>
      </c>
      <c r="J217" s="232">
        <v>1</v>
      </c>
      <c r="K217" s="232"/>
      <c r="L217" s="232" t="s">
        <v>148</v>
      </c>
      <c r="M217" s="232" t="s">
        <v>1040</v>
      </c>
      <c r="N217" s="232" t="s">
        <v>1438</v>
      </c>
      <c r="O217" s="232" t="s">
        <v>662</v>
      </c>
      <c r="P217" s="232" t="s">
        <v>1032</v>
      </c>
      <c r="Q217" s="232" t="s">
        <v>1032</v>
      </c>
      <c r="R217" s="232"/>
      <c r="S217" s="232" t="s">
        <v>663</v>
      </c>
      <c r="T217" s="232" t="s">
        <v>664</v>
      </c>
      <c r="U217" s="232" t="s">
        <v>149</v>
      </c>
      <c r="V217" s="232" t="s">
        <v>1040</v>
      </c>
      <c r="W217" s="232" t="s">
        <v>46</v>
      </c>
      <c r="X217" s="232">
        <f t="shared" si="3"/>
        <v>20</v>
      </c>
    </row>
    <row r="218" spans="1:24" ht="60">
      <c r="A218" s="232" t="s">
        <v>667</v>
      </c>
      <c r="B218" s="232" t="s">
        <v>1254</v>
      </c>
      <c r="C218" s="232">
        <v>0</v>
      </c>
      <c r="D218" s="232">
        <v>0</v>
      </c>
      <c r="E218" s="232">
        <v>0</v>
      </c>
      <c r="F218" s="232">
        <v>0</v>
      </c>
      <c r="G218" s="232">
        <v>0</v>
      </c>
      <c r="H218" s="232">
        <v>1</v>
      </c>
      <c r="I218" s="232">
        <v>0</v>
      </c>
      <c r="J218" s="232">
        <v>1</v>
      </c>
      <c r="K218" s="232"/>
      <c r="L218" s="232" t="s">
        <v>148</v>
      </c>
      <c r="M218" s="232" t="s">
        <v>1040</v>
      </c>
      <c r="N218" s="232" t="s">
        <v>1438</v>
      </c>
      <c r="O218" s="232" t="s">
        <v>662</v>
      </c>
      <c r="P218" s="232" t="s">
        <v>1032</v>
      </c>
      <c r="Q218" s="232" t="s">
        <v>1032</v>
      </c>
      <c r="R218" s="232"/>
      <c r="S218" s="232" t="s">
        <v>663</v>
      </c>
      <c r="T218" s="232" t="s">
        <v>664</v>
      </c>
      <c r="U218" s="232" t="s">
        <v>149</v>
      </c>
      <c r="V218" s="232" t="s">
        <v>1040</v>
      </c>
      <c r="W218" s="232" t="s">
        <v>46</v>
      </c>
      <c r="X218" s="232">
        <f t="shared" si="3"/>
        <v>20</v>
      </c>
    </row>
    <row r="219" spans="1:24" ht="60">
      <c r="A219" s="232" t="s">
        <v>668</v>
      </c>
      <c r="B219" s="232" t="s">
        <v>1255</v>
      </c>
      <c r="C219" s="232">
        <v>0</v>
      </c>
      <c r="D219" s="232">
        <v>0</v>
      </c>
      <c r="E219" s="232">
        <v>0</v>
      </c>
      <c r="F219" s="232">
        <v>0</v>
      </c>
      <c r="G219" s="232">
        <v>0</v>
      </c>
      <c r="H219" s="232">
        <v>1</v>
      </c>
      <c r="I219" s="232">
        <v>0</v>
      </c>
      <c r="J219" s="232">
        <v>1</v>
      </c>
      <c r="K219" s="232"/>
      <c r="L219" s="232" t="s">
        <v>148</v>
      </c>
      <c r="M219" s="232" t="s">
        <v>1040</v>
      </c>
      <c r="N219" s="232" t="s">
        <v>1438</v>
      </c>
      <c r="O219" s="232" t="s">
        <v>662</v>
      </c>
      <c r="P219" s="232" t="s">
        <v>1032</v>
      </c>
      <c r="Q219" s="232" t="s">
        <v>1032</v>
      </c>
      <c r="R219" s="232"/>
      <c r="S219" s="232" t="s">
        <v>663</v>
      </c>
      <c r="T219" s="232" t="s">
        <v>664</v>
      </c>
      <c r="U219" s="232" t="s">
        <v>40</v>
      </c>
      <c r="V219" s="232" t="s">
        <v>1040</v>
      </c>
      <c r="W219" s="232" t="s">
        <v>75</v>
      </c>
      <c r="X219" s="232">
        <f t="shared" si="3"/>
        <v>10</v>
      </c>
    </row>
    <row r="220" spans="1:24" ht="60">
      <c r="A220" s="232" t="s">
        <v>670</v>
      </c>
      <c r="B220" s="232" t="s">
        <v>666</v>
      </c>
      <c r="C220" s="232">
        <v>0</v>
      </c>
      <c r="D220" s="232">
        <v>0</v>
      </c>
      <c r="E220" s="232">
        <v>0</v>
      </c>
      <c r="F220" s="232">
        <v>0</v>
      </c>
      <c r="G220" s="232">
        <v>0</v>
      </c>
      <c r="H220" s="232">
        <v>1</v>
      </c>
      <c r="I220" s="232">
        <v>0</v>
      </c>
      <c r="J220" s="232">
        <v>1</v>
      </c>
      <c r="K220" s="232"/>
      <c r="L220" s="232" t="s">
        <v>148</v>
      </c>
      <c r="M220" s="232" t="s">
        <v>1040</v>
      </c>
      <c r="N220" s="232" t="s">
        <v>1438</v>
      </c>
      <c r="O220" s="232" t="s">
        <v>662</v>
      </c>
      <c r="P220" s="232" t="s">
        <v>1032</v>
      </c>
      <c r="Q220" s="232" t="s">
        <v>1032</v>
      </c>
      <c r="R220" s="232"/>
      <c r="S220" s="232" t="s">
        <v>663</v>
      </c>
      <c r="T220" s="232" t="s">
        <v>664</v>
      </c>
      <c r="U220" s="232" t="s">
        <v>40</v>
      </c>
      <c r="V220" s="232" t="s">
        <v>1040</v>
      </c>
      <c r="W220" s="232" t="s">
        <v>75</v>
      </c>
      <c r="X220" s="232">
        <f t="shared" si="3"/>
        <v>10</v>
      </c>
    </row>
    <row r="221" spans="1:24" ht="60">
      <c r="A221" s="232" t="s">
        <v>671</v>
      </c>
      <c r="B221" s="232" t="s">
        <v>669</v>
      </c>
      <c r="C221" s="232">
        <v>0</v>
      </c>
      <c r="D221" s="232">
        <v>0</v>
      </c>
      <c r="E221" s="232">
        <v>0</v>
      </c>
      <c r="F221" s="232">
        <v>0</v>
      </c>
      <c r="G221" s="232">
        <v>0</v>
      </c>
      <c r="H221" s="232">
        <v>1</v>
      </c>
      <c r="I221" s="232">
        <v>0</v>
      </c>
      <c r="J221" s="232">
        <v>1</v>
      </c>
      <c r="K221" s="232"/>
      <c r="L221" s="232" t="s">
        <v>148</v>
      </c>
      <c r="M221" s="232" t="s">
        <v>1040</v>
      </c>
      <c r="N221" s="232" t="s">
        <v>1438</v>
      </c>
      <c r="O221" s="232" t="s">
        <v>662</v>
      </c>
      <c r="P221" s="232" t="s">
        <v>1032</v>
      </c>
      <c r="Q221" s="232" t="s">
        <v>1032</v>
      </c>
      <c r="R221" s="232"/>
      <c r="S221" s="232" t="s">
        <v>663</v>
      </c>
      <c r="T221" s="232" t="s">
        <v>664</v>
      </c>
      <c r="U221" s="232" t="s">
        <v>40</v>
      </c>
      <c r="V221" s="232" t="s">
        <v>1040</v>
      </c>
      <c r="W221" s="232" t="s">
        <v>75</v>
      </c>
      <c r="X221" s="232">
        <f t="shared" si="3"/>
        <v>10</v>
      </c>
    </row>
    <row r="222" spans="1:24" ht="60">
      <c r="A222" s="232" t="s">
        <v>673</v>
      </c>
      <c r="B222" s="232" t="s">
        <v>1511</v>
      </c>
      <c r="C222" s="232">
        <v>0</v>
      </c>
      <c r="D222" s="232">
        <v>0</v>
      </c>
      <c r="E222" s="232">
        <v>0</v>
      </c>
      <c r="F222" s="232">
        <v>0</v>
      </c>
      <c r="G222" s="232">
        <v>0</v>
      </c>
      <c r="H222" s="232">
        <v>1</v>
      </c>
      <c r="I222" s="232">
        <v>0</v>
      </c>
      <c r="J222" s="232">
        <v>1</v>
      </c>
      <c r="K222" s="232"/>
      <c r="L222" s="232" t="s">
        <v>148</v>
      </c>
      <c r="M222" s="232" t="s">
        <v>1040</v>
      </c>
      <c r="N222" s="232" t="s">
        <v>1438</v>
      </c>
      <c r="O222" s="232" t="s">
        <v>662</v>
      </c>
      <c r="P222" s="232" t="s">
        <v>1032</v>
      </c>
      <c r="Q222" s="232" t="s">
        <v>1032</v>
      </c>
      <c r="R222" s="232"/>
      <c r="S222" s="232" t="s">
        <v>663</v>
      </c>
      <c r="T222" s="232" t="s">
        <v>664</v>
      </c>
      <c r="U222" s="232" t="s">
        <v>40</v>
      </c>
      <c r="V222" s="232" t="s">
        <v>1040</v>
      </c>
      <c r="W222" s="232" t="s">
        <v>75</v>
      </c>
      <c r="X222" s="232">
        <f t="shared" si="3"/>
        <v>10</v>
      </c>
    </row>
    <row r="223" spans="1:24" ht="60">
      <c r="A223" s="232" t="s">
        <v>675</v>
      </c>
      <c r="B223" s="232" t="s">
        <v>672</v>
      </c>
      <c r="C223" s="232">
        <v>0</v>
      </c>
      <c r="D223" s="232">
        <v>0</v>
      </c>
      <c r="E223" s="232">
        <v>0</v>
      </c>
      <c r="F223" s="232">
        <v>0</v>
      </c>
      <c r="G223" s="232">
        <v>0</v>
      </c>
      <c r="H223" s="232">
        <v>1</v>
      </c>
      <c r="I223" s="232">
        <v>0</v>
      </c>
      <c r="J223" s="232">
        <v>1</v>
      </c>
      <c r="K223" s="232"/>
      <c r="L223" s="232" t="s">
        <v>148</v>
      </c>
      <c r="M223" s="232" t="s">
        <v>1040</v>
      </c>
      <c r="N223" s="232" t="s">
        <v>1438</v>
      </c>
      <c r="O223" s="232" t="s">
        <v>662</v>
      </c>
      <c r="P223" s="232" t="s">
        <v>1032</v>
      </c>
      <c r="Q223" s="232" t="s">
        <v>1032</v>
      </c>
      <c r="R223" s="232"/>
      <c r="S223" s="232" t="s">
        <v>663</v>
      </c>
      <c r="T223" s="232" t="s">
        <v>664</v>
      </c>
      <c r="U223" s="232" t="s">
        <v>40</v>
      </c>
      <c r="V223" s="232" t="s">
        <v>1040</v>
      </c>
      <c r="W223" s="232" t="s">
        <v>75</v>
      </c>
      <c r="X223" s="232">
        <f t="shared" si="3"/>
        <v>10</v>
      </c>
    </row>
    <row r="224" spans="1:24" ht="60">
      <c r="A224" s="232" t="s">
        <v>677</v>
      </c>
      <c r="B224" s="232" t="s">
        <v>674</v>
      </c>
      <c r="C224" s="232">
        <v>0</v>
      </c>
      <c r="D224" s="232">
        <v>0</v>
      </c>
      <c r="E224" s="232">
        <v>0</v>
      </c>
      <c r="F224" s="232">
        <v>0</v>
      </c>
      <c r="G224" s="232">
        <v>0</v>
      </c>
      <c r="H224" s="232">
        <v>1</v>
      </c>
      <c r="I224" s="232">
        <v>0</v>
      </c>
      <c r="J224" s="232">
        <v>1</v>
      </c>
      <c r="K224" s="232"/>
      <c r="L224" s="232" t="s">
        <v>1062</v>
      </c>
      <c r="M224" s="232" t="s">
        <v>1040</v>
      </c>
      <c r="N224" s="232" t="s">
        <v>1438</v>
      </c>
      <c r="O224" s="232" t="s">
        <v>662</v>
      </c>
      <c r="P224" s="232" t="s">
        <v>1032</v>
      </c>
      <c r="Q224" s="232" t="s">
        <v>1032</v>
      </c>
      <c r="R224" s="232"/>
      <c r="S224" s="232" t="s">
        <v>663</v>
      </c>
      <c r="T224" s="232" t="s">
        <v>664</v>
      </c>
      <c r="U224" s="232" t="s">
        <v>1062</v>
      </c>
      <c r="V224" s="232" t="s">
        <v>1040</v>
      </c>
      <c r="W224" s="232" t="s">
        <v>41</v>
      </c>
      <c r="X224" s="232">
        <f t="shared" si="3"/>
        <v>5</v>
      </c>
    </row>
    <row r="225" spans="1:24" ht="60">
      <c r="A225" s="232" t="s">
        <v>678</v>
      </c>
      <c r="B225" s="232" t="s">
        <v>676</v>
      </c>
      <c r="C225" s="232">
        <v>0</v>
      </c>
      <c r="D225" s="232">
        <v>0</v>
      </c>
      <c r="E225" s="232">
        <v>0</v>
      </c>
      <c r="F225" s="232">
        <v>0</v>
      </c>
      <c r="G225" s="232">
        <v>0</v>
      </c>
      <c r="H225" s="232">
        <v>1</v>
      </c>
      <c r="I225" s="232">
        <v>0</v>
      </c>
      <c r="J225" s="232">
        <v>1</v>
      </c>
      <c r="K225" s="232"/>
      <c r="L225" s="232" t="s">
        <v>148</v>
      </c>
      <c r="M225" s="232" t="s">
        <v>1040</v>
      </c>
      <c r="N225" s="232" t="s">
        <v>1438</v>
      </c>
      <c r="O225" s="232" t="s">
        <v>662</v>
      </c>
      <c r="P225" s="232" t="s">
        <v>1032</v>
      </c>
      <c r="Q225" s="232" t="s">
        <v>1032</v>
      </c>
      <c r="R225" s="232"/>
      <c r="S225" s="232" t="s">
        <v>663</v>
      </c>
      <c r="T225" s="232" t="s">
        <v>664</v>
      </c>
      <c r="U225" s="232" t="s">
        <v>40</v>
      </c>
      <c r="V225" s="232" t="s">
        <v>1040</v>
      </c>
      <c r="W225" s="232" t="s">
        <v>41</v>
      </c>
      <c r="X225" s="232">
        <f t="shared" si="3"/>
        <v>5</v>
      </c>
    </row>
    <row r="226" spans="1:24" ht="60">
      <c r="A226" s="232" t="s">
        <v>679</v>
      </c>
      <c r="B226" s="232" t="s">
        <v>1088</v>
      </c>
      <c r="C226" s="232">
        <v>0</v>
      </c>
      <c r="D226" s="232">
        <v>0</v>
      </c>
      <c r="E226" s="232">
        <v>0</v>
      </c>
      <c r="F226" s="232">
        <v>0</v>
      </c>
      <c r="G226" s="232">
        <v>0</v>
      </c>
      <c r="H226" s="232">
        <v>1</v>
      </c>
      <c r="I226" s="232">
        <v>0</v>
      </c>
      <c r="J226" s="232">
        <v>1</v>
      </c>
      <c r="K226" s="232"/>
      <c r="L226" s="232" t="s">
        <v>148</v>
      </c>
      <c r="M226" s="232" t="s">
        <v>1040</v>
      </c>
      <c r="N226" s="232" t="s">
        <v>1438</v>
      </c>
      <c r="O226" s="232" t="s">
        <v>662</v>
      </c>
      <c r="P226" s="232" t="s">
        <v>1032</v>
      </c>
      <c r="Q226" s="232" t="s">
        <v>1032</v>
      </c>
      <c r="R226" s="232"/>
      <c r="S226" s="232" t="s">
        <v>663</v>
      </c>
      <c r="T226" s="232" t="s">
        <v>664</v>
      </c>
      <c r="U226" s="232" t="s">
        <v>40</v>
      </c>
      <c r="V226" s="232" t="s">
        <v>1040</v>
      </c>
      <c r="W226" s="232" t="s">
        <v>41</v>
      </c>
      <c r="X226" s="232">
        <f t="shared" si="3"/>
        <v>5</v>
      </c>
    </row>
    <row r="227" spans="1:24" ht="75">
      <c r="A227" s="232" t="s">
        <v>680</v>
      </c>
      <c r="B227" s="232" t="s">
        <v>1181</v>
      </c>
      <c r="C227" s="232">
        <v>0</v>
      </c>
      <c r="D227" s="232">
        <v>0</v>
      </c>
      <c r="E227" s="232">
        <v>0</v>
      </c>
      <c r="F227" s="232">
        <v>0</v>
      </c>
      <c r="G227" s="232">
        <v>0</v>
      </c>
      <c r="H227" s="232">
        <v>1</v>
      </c>
      <c r="I227" s="232">
        <v>0</v>
      </c>
      <c r="J227" s="232">
        <v>1</v>
      </c>
      <c r="K227" s="232"/>
      <c r="L227" s="232" t="s">
        <v>1062</v>
      </c>
      <c r="M227" s="232" t="s">
        <v>1040</v>
      </c>
      <c r="N227" s="232" t="s">
        <v>1438</v>
      </c>
      <c r="O227" s="232" t="s">
        <v>662</v>
      </c>
      <c r="P227" s="232" t="s">
        <v>1032</v>
      </c>
      <c r="Q227" s="232" t="s">
        <v>1032</v>
      </c>
      <c r="R227" s="232"/>
      <c r="S227" s="232" t="s">
        <v>663</v>
      </c>
      <c r="T227" s="232" t="s">
        <v>664</v>
      </c>
      <c r="U227" s="232" t="s">
        <v>1062</v>
      </c>
      <c r="V227" s="232" t="s">
        <v>1040</v>
      </c>
      <c r="W227" s="232" t="s">
        <v>41</v>
      </c>
      <c r="X227" s="232">
        <f t="shared" si="3"/>
        <v>5</v>
      </c>
    </row>
    <row r="228" spans="1:24" ht="235.5" customHeight="1">
      <c r="A228" s="233" t="s">
        <v>681</v>
      </c>
      <c r="B228" s="232" t="s">
        <v>688</v>
      </c>
      <c r="C228" s="232">
        <v>0</v>
      </c>
      <c r="D228" s="232">
        <v>0</v>
      </c>
      <c r="E228" s="232">
        <v>0</v>
      </c>
      <c r="F228" s="232">
        <v>0</v>
      </c>
      <c r="G228" s="232">
        <v>0</v>
      </c>
      <c r="H228" s="232">
        <v>1</v>
      </c>
      <c r="I228" s="232">
        <v>0</v>
      </c>
      <c r="J228" s="232">
        <v>0</v>
      </c>
      <c r="K228" s="232"/>
      <c r="L228" s="232" t="s">
        <v>148</v>
      </c>
      <c r="M228" s="232" t="s">
        <v>1032</v>
      </c>
      <c r="N228" s="232" t="s">
        <v>1439</v>
      </c>
      <c r="O228" s="232" t="s">
        <v>1032</v>
      </c>
      <c r="P228" s="232" t="s">
        <v>689</v>
      </c>
      <c r="Q228" s="232" t="s">
        <v>690</v>
      </c>
      <c r="R228" s="232"/>
      <c r="S228" s="232" t="s">
        <v>1284</v>
      </c>
      <c r="T228" s="232" t="s">
        <v>1440</v>
      </c>
      <c r="U228" s="232" t="s">
        <v>40</v>
      </c>
      <c r="V228" s="232" t="s">
        <v>1032</v>
      </c>
      <c r="W228" s="232" t="s">
        <v>75</v>
      </c>
      <c r="X228" s="232">
        <f t="shared" si="3"/>
        <v>10</v>
      </c>
    </row>
    <row r="229" spans="1:24" ht="231" customHeight="1">
      <c r="A229" s="233" t="s">
        <v>683</v>
      </c>
      <c r="B229" s="232" t="s">
        <v>692</v>
      </c>
      <c r="C229" s="232">
        <v>0</v>
      </c>
      <c r="D229" s="232">
        <v>0</v>
      </c>
      <c r="E229" s="232">
        <v>0</v>
      </c>
      <c r="F229" s="232">
        <v>0</v>
      </c>
      <c r="G229" s="232">
        <v>0</v>
      </c>
      <c r="H229" s="232">
        <v>1</v>
      </c>
      <c r="I229" s="232">
        <v>0</v>
      </c>
      <c r="J229" s="232">
        <v>0</v>
      </c>
      <c r="K229" s="232"/>
      <c r="L229" s="232" t="s">
        <v>148</v>
      </c>
      <c r="M229" s="232" t="s">
        <v>1032</v>
      </c>
      <c r="N229" s="232" t="s">
        <v>1439</v>
      </c>
      <c r="O229" s="232" t="s">
        <v>1032</v>
      </c>
      <c r="P229" s="232" t="s">
        <v>1032</v>
      </c>
      <c r="Q229" s="232" t="s">
        <v>693</v>
      </c>
      <c r="R229" s="232"/>
      <c r="S229" s="232" t="s">
        <v>1476</v>
      </c>
      <c r="T229" s="232" t="s">
        <v>1441</v>
      </c>
      <c r="U229" s="232" t="s">
        <v>149</v>
      </c>
      <c r="V229" s="232" t="s">
        <v>1032</v>
      </c>
      <c r="W229" s="232" t="s">
        <v>75</v>
      </c>
      <c r="X229" s="232">
        <f t="shared" si="3"/>
        <v>10</v>
      </c>
    </row>
    <row r="230" spans="1:24" ht="210">
      <c r="A230" s="233" t="s">
        <v>687</v>
      </c>
      <c r="B230" s="232" t="s">
        <v>695</v>
      </c>
      <c r="C230" s="232">
        <v>0</v>
      </c>
      <c r="D230" s="232">
        <v>0</v>
      </c>
      <c r="E230" s="232">
        <v>0</v>
      </c>
      <c r="F230" s="232">
        <v>0</v>
      </c>
      <c r="G230" s="232">
        <v>0</v>
      </c>
      <c r="H230" s="232">
        <v>1</v>
      </c>
      <c r="I230" s="232">
        <v>0</v>
      </c>
      <c r="J230" s="232">
        <v>0</v>
      </c>
      <c r="K230" s="232"/>
      <c r="L230" s="232" t="s">
        <v>148</v>
      </c>
      <c r="M230" s="232" t="s">
        <v>1032</v>
      </c>
      <c r="N230" s="232" t="s">
        <v>1439</v>
      </c>
      <c r="O230" s="232" t="s">
        <v>1032</v>
      </c>
      <c r="P230" s="232" t="s">
        <v>696</v>
      </c>
      <c r="Q230" s="232" t="s">
        <v>697</v>
      </c>
      <c r="R230" s="232"/>
      <c r="S230" s="232" t="s">
        <v>1256</v>
      </c>
      <c r="T230" s="232" t="s">
        <v>1442</v>
      </c>
      <c r="U230" s="232" t="s">
        <v>40</v>
      </c>
      <c r="V230" s="232" t="s">
        <v>1032</v>
      </c>
      <c r="W230" s="232" t="s">
        <v>75</v>
      </c>
      <c r="X230" s="232">
        <f t="shared" si="3"/>
        <v>10</v>
      </c>
    </row>
    <row r="231" spans="1:24" ht="228.75" customHeight="1">
      <c r="A231" s="233" t="s">
        <v>691</v>
      </c>
      <c r="B231" s="232" t="s">
        <v>699</v>
      </c>
      <c r="C231" s="232">
        <v>0</v>
      </c>
      <c r="D231" s="232">
        <v>0</v>
      </c>
      <c r="E231" s="232">
        <v>0</v>
      </c>
      <c r="F231" s="232">
        <v>0</v>
      </c>
      <c r="G231" s="232">
        <v>0</v>
      </c>
      <c r="H231" s="232">
        <v>1</v>
      </c>
      <c r="I231" s="232">
        <v>0</v>
      </c>
      <c r="J231" s="232">
        <v>0</v>
      </c>
      <c r="K231" s="232"/>
      <c r="L231" s="232" t="s">
        <v>148</v>
      </c>
      <c r="M231" s="232" t="s">
        <v>1032</v>
      </c>
      <c r="N231" s="232" t="s">
        <v>1439</v>
      </c>
      <c r="O231" s="232" t="s">
        <v>1032</v>
      </c>
      <c r="P231" s="232" t="s">
        <v>1032</v>
      </c>
      <c r="Q231" s="232" t="s">
        <v>693</v>
      </c>
      <c r="R231" s="232"/>
      <c r="S231" s="232" t="s">
        <v>1477</v>
      </c>
      <c r="T231" s="232" t="s">
        <v>1441</v>
      </c>
      <c r="U231" s="232" t="s">
        <v>149</v>
      </c>
      <c r="V231" s="232" t="s">
        <v>1032</v>
      </c>
      <c r="W231" s="232" t="s">
        <v>75</v>
      </c>
      <c r="X231" s="232">
        <f t="shared" si="3"/>
        <v>10</v>
      </c>
    </row>
    <row r="232" spans="1:24" ht="214.5" customHeight="1">
      <c r="A232" s="233" t="s">
        <v>694</v>
      </c>
      <c r="B232" s="232" t="s">
        <v>1617</v>
      </c>
      <c r="C232" s="232">
        <v>0</v>
      </c>
      <c r="D232" s="232">
        <v>0</v>
      </c>
      <c r="E232" s="232">
        <v>0</v>
      </c>
      <c r="F232" s="232">
        <v>0</v>
      </c>
      <c r="G232" s="232">
        <v>0</v>
      </c>
      <c r="H232" s="232">
        <v>1</v>
      </c>
      <c r="I232" s="232">
        <v>0</v>
      </c>
      <c r="J232" s="232">
        <v>0</v>
      </c>
      <c r="K232" s="232"/>
      <c r="L232" s="232" t="s">
        <v>148</v>
      </c>
      <c r="M232" s="232" t="s">
        <v>1032</v>
      </c>
      <c r="N232" s="232" t="s">
        <v>1439</v>
      </c>
      <c r="O232" s="232" t="s">
        <v>1032</v>
      </c>
      <c r="P232" s="232" t="s">
        <v>1032</v>
      </c>
      <c r="Q232" s="232" t="s">
        <v>701</v>
      </c>
      <c r="R232" s="232" t="s">
        <v>1615</v>
      </c>
      <c r="S232" s="232" t="s">
        <v>702</v>
      </c>
      <c r="T232" s="232" t="s">
        <v>1443</v>
      </c>
      <c r="U232" s="232" t="s">
        <v>40</v>
      </c>
      <c r="V232" s="232" t="s">
        <v>1032</v>
      </c>
      <c r="W232" s="232" t="s">
        <v>75</v>
      </c>
      <c r="X232" s="232">
        <f t="shared" si="3"/>
        <v>10</v>
      </c>
    </row>
    <row r="233" spans="1:24" ht="90" customHeight="1">
      <c r="A233" s="233" t="s">
        <v>698</v>
      </c>
      <c r="B233" s="232" t="s">
        <v>1182</v>
      </c>
      <c r="C233" s="232">
        <v>0</v>
      </c>
      <c r="D233" s="232">
        <v>0</v>
      </c>
      <c r="E233" s="232">
        <v>0</v>
      </c>
      <c r="F233" s="232">
        <v>0</v>
      </c>
      <c r="G233" s="232">
        <v>0</v>
      </c>
      <c r="H233" s="232">
        <v>1</v>
      </c>
      <c r="I233" s="232">
        <v>0</v>
      </c>
      <c r="J233" s="232">
        <v>0</v>
      </c>
      <c r="K233" s="232"/>
      <c r="L233" s="232" t="s">
        <v>148</v>
      </c>
      <c r="M233" s="232" t="s">
        <v>1032</v>
      </c>
      <c r="N233" s="232" t="s">
        <v>1439</v>
      </c>
      <c r="O233" s="232" t="s">
        <v>1032</v>
      </c>
      <c r="P233" s="232" t="s">
        <v>413</v>
      </c>
      <c r="Q233" s="232" t="s">
        <v>414</v>
      </c>
      <c r="R233" s="232"/>
      <c r="S233" s="232" t="s">
        <v>1512</v>
      </c>
      <c r="T233" s="232" t="s">
        <v>415</v>
      </c>
      <c r="U233" s="232" t="s">
        <v>40</v>
      </c>
      <c r="V233" s="232" t="s">
        <v>1032</v>
      </c>
      <c r="W233" s="232" t="s">
        <v>75</v>
      </c>
      <c r="X233" s="232">
        <f t="shared" si="3"/>
        <v>10</v>
      </c>
    </row>
    <row r="234" spans="1:24" ht="150">
      <c r="A234" s="233" t="s">
        <v>700</v>
      </c>
      <c r="B234" s="232" t="s">
        <v>705</v>
      </c>
      <c r="C234" s="232">
        <v>0</v>
      </c>
      <c r="D234" s="232">
        <v>0</v>
      </c>
      <c r="E234" s="232">
        <v>0</v>
      </c>
      <c r="F234" s="232">
        <v>0</v>
      </c>
      <c r="G234" s="232">
        <v>0</v>
      </c>
      <c r="H234" s="232">
        <v>1</v>
      </c>
      <c r="I234" s="232">
        <v>0</v>
      </c>
      <c r="J234" s="232">
        <v>0</v>
      </c>
      <c r="K234" s="232"/>
      <c r="L234" s="232" t="s">
        <v>148</v>
      </c>
      <c r="M234" s="232" t="s">
        <v>1032</v>
      </c>
      <c r="N234" s="232" t="s">
        <v>1439</v>
      </c>
      <c r="O234" s="232" t="s">
        <v>1032</v>
      </c>
      <c r="P234" s="232" t="s">
        <v>706</v>
      </c>
      <c r="Q234" s="232" t="s">
        <v>707</v>
      </c>
      <c r="R234" s="232"/>
      <c r="S234" s="232" t="s">
        <v>1444</v>
      </c>
      <c r="T234" s="232" t="s">
        <v>708</v>
      </c>
      <c r="U234" s="232" t="s">
        <v>40</v>
      </c>
      <c r="V234" s="232" t="s">
        <v>1032</v>
      </c>
      <c r="W234" s="232" t="s">
        <v>75</v>
      </c>
      <c r="X234" s="232">
        <f t="shared" si="3"/>
        <v>10</v>
      </c>
    </row>
    <row r="235" spans="1:24" ht="135">
      <c r="A235" s="233" t="s">
        <v>703</v>
      </c>
      <c r="B235" s="232" t="s">
        <v>710</v>
      </c>
      <c r="C235" s="232">
        <v>0</v>
      </c>
      <c r="D235" s="232">
        <v>0</v>
      </c>
      <c r="E235" s="232">
        <v>0</v>
      </c>
      <c r="F235" s="232">
        <v>0</v>
      </c>
      <c r="G235" s="232">
        <v>0</v>
      </c>
      <c r="H235" s="232">
        <v>1</v>
      </c>
      <c r="I235" s="232">
        <v>0</v>
      </c>
      <c r="J235" s="232">
        <v>0</v>
      </c>
      <c r="K235" s="232"/>
      <c r="L235" s="232" t="s">
        <v>1062</v>
      </c>
      <c r="M235" s="232" t="s">
        <v>1032</v>
      </c>
      <c r="N235" s="232" t="s">
        <v>1439</v>
      </c>
      <c r="O235" s="232" t="s">
        <v>711</v>
      </c>
      <c r="P235" s="232" t="s">
        <v>1032</v>
      </c>
      <c r="Q235" s="232" t="s">
        <v>1032</v>
      </c>
      <c r="R235" s="232"/>
      <c r="S235" s="232" t="s">
        <v>1445</v>
      </c>
      <c r="T235" s="232" t="s">
        <v>712</v>
      </c>
      <c r="U235" s="232" t="s">
        <v>1062</v>
      </c>
      <c r="V235" s="232" t="s">
        <v>1032</v>
      </c>
      <c r="W235" s="232" t="s">
        <v>75</v>
      </c>
      <c r="X235" s="232">
        <f t="shared" si="3"/>
        <v>10</v>
      </c>
    </row>
    <row r="236" spans="1:24" ht="180">
      <c r="A236" s="233" t="s">
        <v>704</v>
      </c>
      <c r="B236" s="232" t="s">
        <v>1291</v>
      </c>
      <c r="C236" s="232">
        <v>0</v>
      </c>
      <c r="D236" s="232">
        <v>0</v>
      </c>
      <c r="E236" s="232">
        <v>0</v>
      </c>
      <c r="F236" s="232">
        <v>0</v>
      </c>
      <c r="G236" s="232">
        <v>0</v>
      </c>
      <c r="H236" s="232">
        <v>1</v>
      </c>
      <c r="I236" s="232">
        <v>0</v>
      </c>
      <c r="J236" s="232">
        <v>0</v>
      </c>
      <c r="K236" s="232"/>
      <c r="L236" s="232" t="s">
        <v>1062</v>
      </c>
      <c r="M236" s="232" t="s">
        <v>1032</v>
      </c>
      <c r="N236" s="232" t="s">
        <v>1439</v>
      </c>
      <c r="O236" s="232" t="s">
        <v>682</v>
      </c>
      <c r="P236" s="232" t="s">
        <v>1032</v>
      </c>
      <c r="Q236" s="232" t="s">
        <v>1032</v>
      </c>
      <c r="R236" s="232"/>
      <c r="S236" s="232" t="s">
        <v>1446</v>
      </c>
      <c r="T236" s="232" t="s">
        <v>1447</v>
      </c>
      <c r="U236" s="232" t="s">
        <v>1062</v>
      </c>
      <c r="V236" s="232" t="s">
        <v>1032</v>
      </c>
      <c r="W236" s="232" t="s">
        <v>41</v>
      </c>
      <c r="X236" s="232">
        <f t="shared" si="3"/>
        <v>5</v>
      </c>
    </row>
    <row r="237" spans="1:24" ht="195">
      <c r="A237" s="233" t="s">
        <v>709</v>
      </c>
      <c r="B237" s="232" t="s">
        <v>684</v>
      </c>
      <c r="C237" s="232">
        <v>0</v>
      </c>
      <c r="D237" s="232">
        <v>0</v>
      </c>
      <c r="E237" s="232">
        <v>0</v>
      </c>
      <c r="F237" s="232">
        <v>0</v>
      </c>
      <c r="G237" s="232">
        <v>0</v>
      </c>
      <c r="H237" s="232">
        <v>1</v>
      </c>
      <c r="I237" s="232">
        <v>0</v>
      </c>
      <c r="J237" s="232">
        <v>0</v>
      </c>
      <c r="K237" s="232"/>
      <c r="L237" s="232" t="s">
        <v>148</v>
      </c>
      <c r="M237" s="232" t="s">
        <v>1032</v>
      </c>
      <c r="N237" s="232" t="s">
        <v>1439</v>
      </c>
      <c r="O237" s="232" t="s">
        <v>1032</v>
      </c>
      <c r="P237" s="232" t="s">
        <v>685</v>
      </c>
      <c r="Q237" s="232" t="s">
        <v>686</v>
      </c>
      <c r="R237" s="232"/>
      <c r="S237" s="232" t="s">
        <v>1448</v>
      </c>
      <c r="T237" s="232" t="s">
        <v>1285</v>
      </c>
      <c r="U237" s="232" t="s">
        <v>40</v>
      </c>
      <c r="V237" s="232" t="s">
        <v>1032</v>
      </c>
      <c r="W237" s="232" t="s">
        <v>41</v>
      </c>
      <c r="X237" s="232">
        <f t="shared" si="3"/>
        <v>5</v>
      </c>
    </row>
    <row r="238" spans="1:24" ht="15">
      <c r="A238" s="233" t="s">
        <v>913</v>
      </c>
      <c r="B238" s="232" t="s">
        <v>1257</v>
      </c>
      <c r="C238" s="232">
        <v>0</v>
      </c>
      <c r="D238" s="232">
        <v>0</v>
      </c>
      <c r="E238" s="232">
        <v>0</v>
      </c>
      <c r="F238" s="232">
        <v>0</v>
      </c>
      <c r="G238" s="232">
        <v>0</v>
      </c>
      <c r="H238" s="232">
        <v>0</v>
      </c>
      <c r="I238" s="232">
        <v>0</v>
      </c>
      <c r="J238" s="232">
        <v>1</v>
      </c>
      <c r="K238" s="232" t="s">
        <v>22</v>
      </c>
      <c r="L238" s="232" t="s">
        <v>1062</v>
      </c>
      <c r="M238" s="232" t="s">
        <v>1032</v>
      </c>
      <c r="N238" s="232" t="s">
        <v>1032</v>
      </c>
      <c r="O238" s="232" t="s">
        <v>1032</v>
      </c>
      <c r="P238" s="232" t="s">
        <v>1032</v>
      </c>
      <c r="Q238" s="232" t="s">
        <v>1032</v>
      </c>
      <c r="R238" s="232"/>
      <c r="S238" s="232" t="s">
        <v>1032</v>
      </c>
      <c r="T238" s="232" t="s">
        <v>1032</v>
      </c>
      <c r="U238" s="232" t="s">
        <v>1062</v>
      </c>
      <c r="V238" s="232" t="s">
        <v>1032</v>
      </c>
      <c r="W238" s="232" t="s">
        <v>1032</v>
      </c>
      <c r="X238" s="232">
        <f t="shared" si="3"/>
        <v>10</v>
      </c>
    </row>
    <row r="239" spans="1:24" ht="30">
      <c r="A239" s="233" t="s">
        <v>914</v>
      </c>
      <c r="B239" s="232" t="s">
        <v>1258</v>
      </c>
      <c r="C239" s="232">
        <v>0</v>
      </c>
      <c r="D239" s="232">
        <v>0</v>
      </c>
      <c r="E239" s="232">
        <v>0</v>
      </c>
      <c r="F239" s="232">
        <v>0</v>
      </c>
      <c r="G239" s="232">
        <v>0</v>
      </c>
      <c r="H239" s="232">
        <v>0</v>
      </c>
      <c r="I239" s="232">
        <v>0</v>
      </c>
      <c r="J239" s="232">
        <v>1</v>
      </c>
      <c r="K239" s="232" t="s">
        <v>22</v>
      </c>
      <c r="L239" s="232" t="s">
        <v>1062</v>
      </c>
      <c r="M239" s="232" t="s">
        <v>1032</v>
      </c>
      <c r="N239" s="232" t="s">
        <v>1032</v>
      </c>
      <c r="O239" s="232" t="s">
        <v>1032</v>
      </c>
      <c r="P239" s="232" t="s">
        <v>1032</v>
      </c>
      <c r="Q239" s="232" t="s">
        <v>1032</v>
      </c>
      <c r="R239" s="232"/>
      <c r="S239" s="232" t="s">
        <v>1529</v>
      </c>
      <c r="T239" s="232" t="s">
        <v>1529</v>
      </c>
      <c r="U239" s="232" t="s">
        <v>1062</v>
      </c>
      <c r="V239" s="232" t="s">
        <v>1032</v>
      </c>
      <c r="W239" s="232" t="s">
        <v>1032</v>
      </c>
      <c r="X239" s="232">
        <f t="shared" si="3"/>
        <v>10</v>
      </c>
    </row>
    <row r="240" spans="1:24" ht="30">
      <c r="A240" s="233" t="s">
        <v>915</v>
      </c>
      <c r="B240" s="232" t="s">
        <v>1259</v>
      </c>
      <c r="C240" s="232">
        <v>0</v>
      </c>
      <c r="D240" s="232">
        <v>0</v>
      </c>
      <c r="E240" s="232">
        <v>0</v>
      </c>
      <c r="F240" s="232">
        <v>0</v>
      </c>
      <c r="G240" s="232">
        <v>0</v>
      </c>
      <c r="H240" s="232">
        <v>0</v>
      </c>
      <c r="I240" s="232">
        <v>0</v>
      </c>
      <c r="J240" s="232">
        <v>1</v>
      </c>
      <c r="K240" s="232" t="s">
        <v>22</v>
      </c>
      <c r="L240" s="232" t="s">
        <v>1062</v>
      </c>
      <c r="M240" s="232" t="s">
        <v>1032</v>
      </c>
      <c r="N240" s="232" t="s">
        <v>1032</v>
      </c>
      <c r="O240" s="232" t="s">
        <v>1032</v>
      </c>
      <c r="P240" s="232" t="s">
        <v>1032</v>
      </c>
      <c r="Q240" s="232" t="s">
        <v>1032</v>
      </c>
      <c r="R240" s="232"/>
      <c r="S240" s="232" t="s">
        <v>1032</v>
      </c>
      <c r="T240" s="232" t="s">
        <v>1032</v>
      </c>
      <c r="U240" s="232" t="s">
        <v>1062</v>
      </c>
      <c r="V240" s="232" t="s">
        <v>1032</v>
      </c>
      <c r="W240" s="232" t="s">
        <v>1032</v>
      </c>
      <c r="X240" s="232">
        <f t="shared" si="3"/>
        <v>10</v>
      </c>
    </row>
    <row r="241" spans="1:24" ht="30">
      <c r="A241" s="233" t="s">
        <v>916</v>
      </c>
      <c r="B241" s="232" t="s">
        <v>1260</v>
      </c>
      <c r="C241" s="232">
        <v>0</v>
      </c>
      <c r="D241" s="232">
        <v>0</v>
      </c>
      <c r="E241" s="232">
        <v>0</v>
      </c>
      <c r="F241" s="232">
        <v>0</v>
      </c>
      <c r="G241" s="232">
        <v>0</v>
      </c>
      <c r="H241" s="232">
        <v>0</v>
      </c>
      <c r="I241" s="232">
        <v>0</v>
      </c>
      <c r="J241" s="232">
        <v>1</v>
      </c>
      <c r="K241" s="232" t="s">
        <v>22</v>
      </c>
      <c r="L241" s="232" t="s">
        <v>1062</v>
      </c>
      <c r="M241" s="232" t="s">
        <v>1032</v>
      </c>
      <c r="N241" s="232" t="s">
        <v>1032</v>
      </c>
      <c r="O241" s="232" t="s">
        <v>1032</v>
      </c>
      <c r="P241" s="232" t="s">
        <v>1032</v>
      </c>
      <c r="Q241" s="232" t="s">
        <v>1032</v>
      </c>
      <c r="R241" s="232"/>
      <c r="S241" s="232" t="s">
        <v>1032</v>
      </c>
      <c r="T241" s="232" t="s">
        <v>1032</v>
      </c>
      <c r="U241" s="232" t="s">
        <v>1062</v>
      </c>
      <c r="V241" s="232" t="s">
        <v>1032</v>
      </c>
      <c r="W241" s="232" t="s">
        <v>1032</v>
      </c>
      <c r="X241" s="232">
        <f t="shared" si="3"/>
        <v>10</v>
      </c>
    </row>
    <row r="242" spans="1:24" ht="30">
      <c r="A242" s="233" t="s">
        <v>917</v>
      </c>
      <c r="B242" s="232" t="s">
        <v>713</v>
      </c>
      <c r="C242" s="232">
        <v>0</v>
      </c>
      <c r="D242" s="232">
        <v>0</v>
      </c>
      <c r="E242" s="232">
        <v>0</v>
      </c>
      <c r="F242" s="232">
        <v>0</v>
      </c>
      <c r="G242" s="232">
        <v>0</v>
      </c>
      <c r="H242" s="232">
        <v>0</v>
      </c>
      <c r="I242" s="232">
        <v>0</v>
      </c>
      <c r="J242" s="232">
        <v>1</v>
      </c>
      <c r="K242" s="232"/>
      <c r="L242" s="232" t="s">
        <v>1062</v>
      </c>
      <c r="M242" s="232" t="s">
        <v>1032</v>
      </c>
      <c r="N242" s="232" t="s">
        <v>1032</v>
      </c>
      <c r="O242" s="232" t="s">
        <v>1032</v>
      </c>
      <c r="P242" s="232" t="s">
        <v>1032</v>
      </c>
      <c r="Q242" s="232" t="s">
        <v>1032</v>
      </c>
      <c r="R242" s="232"/>
      <c r="S242" s="232" t="s">
        <v>1032</v>
      </c>
      <c r="T242" s="232" t="s">
        <v>1032</v>
      </c>
      <c r="U242" s="232" t="s">
        <v>1062</v>
      </c>
      <c r="V242" s="232" t="s">
        <v>1032</v>
      </c>
      <c r="W242" s="232" t="s">
        <v>75</v>
      </c>
      <c r="X242" s="232">
        <f t="shared" si="3"/>
        <v>10</v>
      </c>
    </row>
    <row r="243" spans="1:24" ht="60">
      <c r="A243" s="233" t="s">
        <v>714</v>
      </c>
      <c r="B243" s="232" t="s">
        <v>1183</v>
      </c>
      <c r="C243" s="232">
        <v>0</v>
      </c>
      <c r="D243" s="232">
        <v>0</v>
      </c>
      <c r="E243" s="232">
        <v>0</v>
      </c>
      <c r="F243" s="232">
        <v>0</v>
      </c>
      <c r="G243" s="232">
        <v>0</v>
      </c>
      <c r="H243" s="232">
        <v>0</v>
      </c>
      <c r="I243" s="232">
        <v>0</v>
      </c>
      <c r="J243" s="232">
        <v>1</v>
      </c>
      <c r="K243" s="232"/>
      <c r="L243" s="232" t="s">
        <v>9</v>
      </c>
      <c r="M243" s="232" t="s">
        <v>1032</v>
      </c>
      <c r="N243" s="232" t="s">
        <v>1032</v>
      </c>
      <c r="O243" s="232" t="s">
        <v>1032</v>
      </c>
      <c r="P243" s="232" t="s">
        <v>1032</v>
      </c>
      <c r="Q243" s="232" t="s">
        <v>718</v>
      </c>
      <c r="R243" s="232"/>
      <c r="S243" s="232" t="s">
        <v>1529</v>
      </c>
      <c r="T243" s="232" t="s">
        <v>1529</v>
      </c>
      <c r="U243" s="232" t="s">
        <v>149</v>
      </c>
      <c r="V243" s="232" t="s">
        <v>1032</v>
      </c>
      <c r="W243" s="232" t="s">
        <v>46</v>
      </c>
      <c r="X243" s="232">
        <f t="shared" si="3"/>
        <v>20</v>
      </c>
    </row>
    <row r="244" spans="1:24" ht="15.75" customHeight="1">
      <c r="A244" s="233" t="s">
        <v>717</v>
      </c>
      <c r="B244" s="232" t="s">
        <v>1076</v>
      </c>
      <c r="C244" s="232">
        <v>0</v>
      </c>
      <c r="D244" s="232">
        <v>0</v>
      </c>
      <c r="E244" s="232">
        <v>0</v>
      </c>
      <c r="F244" s="232">
        <v>0</v>
      </c>
      <c r="G244" s="232">
        <v>0</v>
      </c>
      <c r="H244" s="232">
        <v>0</v>
      </c>
      <c r="I244" s="232">
        <v>0</v>
      </c>
      <c r="J244" s="232">
        <v>1</v>
      </c>
      <c r="K244" s="232"/>
      <c r="L244" s="232" t="s">
        <v>1062</v>
      </c>
      <c r="M244" s="232" t="s">
        <v>1032</v>
      </c>
      <c r="N244" s="232" t="s">
        <v>1032</v>
      </c>
      <c r="O244" s="232" t="s">
        <v>1261</v>
      </c>
      <c r="P244" s="232" t="s">
        <v>1032</v>
      </c>
      <c r="Q244" s="232" t="s">
        <v>1032</v>
      </c>
      <c r="R244" s="232"/>
      <c r="S244" s="232" t="s">
        <v>1032</v>
      </c>
      <c r="T244" s="232" t="s">
        <v>1032</v>
      </c>
      <c r="U244" s="232" t="s">
        <v>1062</v>
      </c>
      <c r="V244" s="232" t="s">
        <v>1032</v>
      </c>
      <c r="W244" s="232" t="s">
        <v>46</v>
      </c>
      <c r="X244" s="232">
        <f t="shared" si="3"/>
        <v>20</v>
      </c>
    </row>
    <row r="245" spans="1:24" ht="60">
      <c r="A245" s="233" t="s">
        <v>719</v>
      </c>
      <c r="B245" s="232" t="s">
        <v>720</v>
      </c>
      <c r="C245" s="232">
        <v>0</v>
      </c>
      <c r="D245" s="232">
        <v>0</v>
      </c>
      <c r="E245" s="232">
        <v>0</v>
      </c>
      <c r="F245" s="232">
        <v>0</v>
      </c>
      <c r="G245" s="232">
        <v>0</v>
      </c>
      <c r="H245" s="232">
        <v>0</v>
      </c>
      <c r="I245" s="232">
        <v>0</v>
      </c>
      <c r="J245" s="232">
        <v>1</v>
      </c>
      <c r="K245" s="232"/>
      <c r="L245" s="232" t="s">
        <v>9</v>
      </c>
      <c r="M245" s="232" t="s">
        <v>1032</v>
      </c>
      <c r="N245" s="232" t="s">
        <v>1032</v>
      </c>
      <c r="O245" s="232" t="s">
        <v>1032</v>
      </c>
      <c r="P245" s="232" t="s">
        <v>1032</v>
      </c>
      <c r="Q245" s="232" t="s">
        <v>721</v>
      </c>
      <c r="R245" s="232"/>
      <c r="S245" s="232" t="s">
        <v>1032</v>
      </c>
      <c r="T245" s="232" t="s">
        <v>1032</v>
      </c>
      <c r="U245" s="232" t="s">
        <v>149</v>
      </c>
      <c r="V245" s="232" t="s">
        <v>1032</v>
      </c>
      <c r="W245" s="232" t="s">
        <v>41</v>
      </c>
      <c r="X245" s="232">
        <f t="shared" si="3"/>
        <v>5</v>
      </c>
    </row>
    <row r="246" spans="1:24" ht="60">
      <c r="A246" s="233" t="s">
        <v>722</v>
      </c>
      <c r="B246" s="232" t="s">
        <v>715</v>
      </c>
      <c r="C246" s="232">
        <v>0</v>
      </c>
      <c r="D246" s="232">
        <v>0</v>
      </c>
      <c r="E246" s="232">
        <v>0</v>
      </c>
      <c r="F246" s="232">
        <v>0</v>
      </c>
      <c r="G246" s="232">
        <v>0</v>
      </c>
      <c r="H246" s="232">
        <v>0</v>
      </c>
      <c r="I246" s="232">
        <v>0</v>
      </c>
      <c r="J246" s="232">
        <v>1</v>
      </c>
      <c r="K246" s="232"/>
      <c r="L246" s="232" t="s">
        <v>9</v>
      </c>
      <c r="M246" s="232" t="s">
        <v>1032</v>
      </c>
      <c r="N246" s="232" t="s">
        <v>1032</v>
      </c>
      <c r="O246" s="232" t="s">
        <v>716</v>
      </c>
      <c r="P246" s="232" t="s">
        <v>1032</v>
      </c>
      <c r="Q246" s="232" t="s">
        <v>1032</v>
      </c>
      <c r="R246" s="232"/>
      <c r="S246" s="232" t="s">
        <v>1032</v>
      </c>
      <c r="T246" s="232" t="s">
        <v>1032</v>
      </c>
      <c r="U246" s="232" t="s">
        <v>40</v>
      </c>
      <c r="V246" s="232" t="s">
        <v>1032</v>
      </c>
      <c r="W246" s="232" t="s">
        <v>41</v>
      </c>
      <c r="X246" s="232">
        <f t="shared" si="3"/>
        <v>5</v>
      </c>
    </row>
    <row r="247" spans="1:24" ht="120">
      <c r="A247" s="233" t="s">
        <v>723</v>
      </c>
      <c r="B247" s="232" t="s">
        <v>1077</v>
      </c>
      <c r="C247" s="232">
        <v>0</v>
      </c>
      <c r="D247" s="232">
        <v>0</v>
      </c>
      <c r="E247" s="232">
        <v>0</v>
      </c>
      <c r="F247" s="232">
        <v>0</v>
      </c>
      <c r="G247" s="232">
        <v>0</v>
      </c>
      <c r="H247" s="232">
        <v>0</v>
      </c>
      <c r="I247" s="232">
        <v>0</v>
      </c>
      <c r="J247" s="232">
        <v>1</v>
      </c>
      <c r="K247" s="232"/>
      <c r="L247" s="232" t="s">
        <v>9</v>
      </c>
      <c r="M247" s="232" t="s">
        <v>1032</v>
      </c>
      <c r="N247" s="232" t="s">
        <v>1032</v>
      </c>
      <c r="O247" s="232" t="s">
        <v>1513</v>
      </c>
      <c r="P247" s="232" t="s">
        <v>1032</v>
      </c>
      <c r="Q247" s="232" t="s">
        <v>1032</v>
      </c>
      <c r="R247" s="232" t="s">
        <v>1615</v>
      </c>
      <c r="S247" s="232" t="s">
        <v>1529</v>
      </c>
      <c r="T247" s="232" t="s">
        <v>1529</v>
      </c>
      <c r="U247" s="232" t="s">
        <v>40</v>
      </c>
      <c r="V247" s="232" t="s">
        <v>1032</v>
      </c>
      <c r="W247" s="232" t="s">
        <v>75</v>
      </c>
      <c r="X247" s="232">
        <f t="shared" si="3"/>
        <v>10</v>
      </c>
    </row>
    <row r="248" spans="1:24" ht="90">
      <c r="A248" s="233" t="s">
        <v>724</v>
      </c>
      <c r="B248" s="232" t="s">
        <v>1030</v>
      </c>
      <c r="C248" s="232">
        <v>0</v>
      </c>
      <c r="D248" s="232">
        <v>0</v>
      </c>
      <c r="E248" s="232">
        <v>0</v>
      </c>
      <c r="F248" s="232">
        <v>0</v>
      </c>
      <c r="G248" s="232">
        <v>0</v>
      </c>
      <c r="H248" s="232">
        <v>0</v>
      </c>
      <c r="I248" s="232">
        <v>0</v>
      </c>
      <c r="J248" s="232">
        <v>1</v>
      </c>
      <c r="K248" s="232"/>
      <c r="L248" s="232" t="s">
        <v>9</v>
      </c>
      <c r="M248" s="232" t="s">
        <v>1032</v>
      </c>
      <c r="N248" s="232" t="s">
        <v>1032</v>
      </c>
      <c r="O248" s="232" t="s">
        <v>1032</v>
      </c>
      <c r="P248" s="232" t="s">
        <v>725</v>
      </c>
      <c r="Q248" s="232" t="s">
        <v>79</v>
      </c>
      <c r="R248" s="232"/>
      <c r="S248" s="232" t="s">
        <v>1032</v>
      </c>
      <c r="T248" s="232" t="s">
        <v>1032</v>
      </c>
      <c r="U248" s="232" t="s">
        <v>40</v>
      </c>
      <c r="V248" s="232" t="s">
        <v>1032</v>
      </c>
      <c r="W248" s="232" t="s">
        <v>75</v>
      </c>
      <c r="X248" s="232">
        <f t="shared" si="3"/>
        <v>10</v>
      </c>
    </row>
    <row r="249" spans="1:24" ht="45">
      <c r="A249" s="233" t="s">
        <v>726</v>
      </c>
      <c r="B249" s="232" t="s">
        <v>727</v>
      </c>
      <c r="C249" s="232">
        <v>0</v>
      </c>
      <c r="D249" s="232">
        <v>0</v>
      </c>
      <c r="E249" s="232">
        <v>0</v>
      </c>
      <c r="F249" s="232">
        <v>0</v>
      </c>
      <c r="G249" s="232">
        <v>0</v>
      </c>
      <c r="H249" s="232">
        <v>0</v>
      </c>
      <c r="I249" s="232">
        <v>0</v>
      </c>
      <c r="J249" s="232">
        <v>1</v>
      </c>
      <c r="K249" s="232"/>
      <c r="L249" s="232" t="s">
        <v>9</v>
      </c>
      <c r="M249" s="232" t="s">
        <v>1032</v>
      </c>
      <c r="N249" s="232" t="s">
        <v>1032</v>
      </c>
      <c r="O249" s="232" t="s">
        <v>1032</v>
      </c>
      <c r="P249" s="232" t="s">
        <v>1032</v>
      </c>
      <c r="Q249" s="232" t="s">
        <v>1032</v>
      </c>
      <c r="R249" s="232"/>
      <c r="S249" s="232" t="s">
        <v>1032</v>
      </c>
      <c r="T249" s="232" t="s">
        <v>1032</v>
      </c>
      <c r="U249" s="232" t="s">
        <v>40</v>
      </c>
      <c r="V249" s="232" t="s">
        <v>1032</v>
      </c>
      <c r="W249" s="232" t="s">
        <v>75</v>
      </c>
      <c r="X249" s="232">
        <f t="shared" si="3"/>
        <v>10</v>
      </c>
    </row>
    <row r="250" spans="1:24" ht="45">
      <c r="A250" s="233" t="s">
        <v>728</v>
      </c>
      <c r="B250" s="232" t="s">
        <v>1514</v>
      </c>
      <c r="C250" s="232">
        <v>0</v>
      </c>
      <c r="D250" s="232">
        <v>0</v>
      </c>
      <c r="E250" s="232">
        <v>0</v>
      </c>
      <c r="F250" s="232">
        <v>0</v>
      </c>
      <c r="G250" s="232">
        <v>0</v>
      </c>
      <c r="H250" s="232">
        <v>0</v>
      </c>
      <c r="I250" s="232">
        <v>0</v>
      </c>
      <c r="J250" s="232">
        <v>1</v>
      </c>
      <c r="K250" s="232"/>
      <c r="L250" s="232" t="s">
        <v>9</v>
      </c>
      <c r="M250" s="232" t="s">
        <v>1032</v>
      </c>
      <c r="N250" s="232" t="s">
        <v>1032</v>
      </c>
      <c r="O250" s="232" t="s">
        <v>1032</v>
      </c>
      <c r="P250" s="232" t="s">
        <v>1032</v>
      </c>
      <c r="Q250" s="232" t="s">
        <v>1032</v>
      </c>
      <c r="R250" s="232"/>
      <c r="S250" s="232" t="s">
        <v>1529</v>
      </c>
      <c r="T250" s="232" t="s">
        <v>1529</v>
      </c>
      <c r="U250" s="232" t="s">
        <v>40</v>
      </c>
      <c r="V250" s="232" t="s">
        <v>1032</v>
      </c>
      <c r="W250" s="232" t="s">
        <v>46</v>
      </c>
      <c r="X250" s="232">
        <f t="shared" si="3"/>
        <v>20</v>
      </c>
    </row>
    <row r="251" spans="1:24" ht="75">
      <c r="A251" s="233" t="s">
        <v>732</v>
      </c>
      <c r="B251" s="232" t="s">
        <v>729</v>
      </c>
      <c r="C251" s="232">
        <v>0</v>
      </c>
      <c r="D251" s="232">
        <v>0</v>
      </c>
      <c r="E251" s="232">
        <v>0</v>
      </c>
      <c r="F251" s="232">
        <v>0</v>
      </c>
      <c r="G251" s="232">
        <v>0</v>
      </c>
      <c r="H251" s="232">
        <v>0</v>
      </c>
      <c r="I251" s="232">
        <v>0</v>
      </c>
      <c r="J251" s="232">
        <v>1</v>
      </c>
      <c r="K251" s="232"/>
      <c r="L251" s="232" t="s">
        <v>9</v>
      </c>
      <c r="M251" s="232" t="s">
        <v>1032</v>
      </c>
      <c r="N251" s="232" t="s">
        <v>1032</v>
      </c>
      <c r="O251" s="232" t="s">
        <v>1032</v>
      </c>
      <c r="P251" s="232" t="s">
        <v>730</v>
      </c>
      <c r="Q251" s="232" t="s">
        <v>731</v>
      </c>
      <c r="R251" s="232"/>
      <c r="S251" s="232" t="s">
        <v>1032</v>
      </c>
      <c r="T251" s="232" t="s">
        <v>1032</v>
      </c>
      <c r="U251" s="232" t="s">
        <v>40</v>
      </c>
      <c r="V251" s="232" t="s">
        <v>1032</v>
      </c>
      <c r="W251" s="232" t="s">
        <v>41</v>
      </c>
      <c r="X251" s="232">
        <f t="shared" si="3"/>
        <v>5</v>
      </c>
    </row>
    <row r="252" spans="1:24" ht="30">
      <c r="A252" s="233" t="s">
        <v>733</v>
      </c>
      <c r="B252" s="232" t="s">
        <v>734</v>
      </c>
      <c r="C252" s="232">
        <v>0</v>
      </c>
      <c r="D252" s="232">
        <v>0</v>
      </c>
      <c r="E252" s="232">
        <v>0</v>
      </c>
      <c r="F252" s="232">
        <v>0</v>
      </c>
      <c r="G252" s="232">
        <v>0</v>
      </c>
      <c r="H252" s="232">
        <v>0</v>
      </c>
      <c r="I252" s="232">
        <v>0</v>
      </c>
      <c r="J252" s="232">
        <v>1</v>
      </c>
      <c r="K252" s="232"/>
      <c r="L252" s="232" t="s">
        <v>9</v>
      </c>
      <c r="M252" s="232" t="s">
        <v>1032</v>
      </c>
      <c r="N252" s="232" t="s">
        <v>1032</v>
      </c>
      <c r="O252" s="232" t="s">
        <v>1032</v>
      </c>
      <c r="P252" s="232" t="s">
        <v>443</v>
      </c>
      <c r="Q252" s="232" t="s">
        <v>735</v>
      </c>
      <c r="R252" s="232"/>
      <c r="S252" s="232" t="s">
        <v>1529</v>
      </c>
      <c r="T252" s="232" t="s">
        <v>1529</v>
      </c>
      <c r="U252" s="232" t="s">
        <v>40</v>
      </c>
      <c r="V252" s="232" t="s">
        <v>1032</v>
      </c>
      <c r="W252" s="232" t="s">
        <v>75</v>
      </c>
      <c r="X252" s="232">
        <f t="shared" si="3"/>
        <v>10</v>
      </c>
    </row>
    <row r="253" spans="1:24" ht="45">
      <c r="A253" s="233" t="s">
        <v>736</v>
      </c>
      <c r="B253" s="232" t="s">
        <v>737</v>
      </c>
      <c r="C253" s="232">
        <v>0</v>
      </c>
      <c r="D253" s="232">
        <v>0</v>
      </c>
      <c r="E253" s="232">
        <v>0</v>
      </c>
      <c r="F253" s="232">
        <v>0</v>
      </c>
      <c r="G253" s="232">
        <v>0</v>
      </c>
      <c r="H253" s="232">
        <v>0</v>
      </c>
      <c r="I253" s="232">
        <v>0</v>
      </c>
      <c r="J253" s="232">
        <v>1</v>
      </c>
      <c r="K253" s="232"/>
      <c r="L253" s="232" t="s">
        <v>9</v>
      </c>
      <c r="M253" s="232" t="s">
        <v>1032</v>
      </c>
      <c r="N253" s="232" t="s">
        <v>1032</v>
      </c>
      <c r="O253" s="232" t="s">
        <v>1032</v>
      </c>
      <c r="P253" s="232" t="s">
        <v>1032</v>
      </c>
      <c r="Q253" s="232" t="s">
        <v>1032</v>
      </c>
      <c r="R253" s="232"/>
      <c r="S253" s="232" t="s">
        <v>1032</v>
      </c>
      <c r="T253" s="232" t="s">
        <v>1032</v>
      </c>
      <c r="U253" s="232" t="s">
        <v>40</v>
      </c>
      <c r="V253" s="232" t="s">
        <v>1032</v>
      </c>
      <c r="W253" s="232" t="s">
        <v>41</v>
      </c>
      <c r="X253" s="232">
        <f t="shared" si="3"/>
        <v>5</v>
      </c>
    </row>
    <row r="254" spans="1:24" ht="45">
      <c r="A254" s="233" t="s">
        <v>738</v>
      </c>
      <c r="B254" s="232" t="s">
        <v>1557</v>
      </c>
      <c r="C254" s="232">
        <v>0</v>
      </c>
      <c r="D254" s="232">
        <v>0</v>
      </c>
      <c r="E254" s="232">
        <v>0</v>
      </c>
      <c r="F254" s="232">
        <v>0</v>
      </c>
      <c r="G254" s="232">
        <v>0</v>
      </c>
      <c r="H254" s="232">
        <v>0</v>
      </c>
      <c r="I254" s="232">
        <v>0</v>
      </c>
      <c r="J254" s="232">
        <v>1</v>
      </c>
      <c r="K254" s="232"/>
      <c r="L254" s="232" t="s">
        <v>9</v>
      </c>
      <c r="M254" s="232" t="s">
        <v>1032</v>
      </c>
      <c r="N254" s="232" t="s">
        <v>1032</v>
      </c>
      <c r="O254" s="232" t="s">
        <v>1032</v>
      </c>
      <c r="P254" s="232" t="s">
        <v>1032</v>
      </c>
      <c r="Q254" s="232" t="s">
        <v>744</v>
      </c>
      <c r="R254" s="232"/>
      <c r="S254" s="232" t="s">
        <v>1529</v>
      </c>
      <c r="T254" s="232" t="s">
        <v>1529</v>
      </c>
      <c r="U254" s="232" t="s">
        <v>149</v>
      </c>
      <c r="V254" s="232" t="s">
        <v>1032</v>
      </c>
      <c r="W254" s="232" t="s">
        <v>46</v>
      </c>
      <c r="X254" s="232">
        <f t="shared" si="3"/>
        <v>20</v>
      </c>
    </row>
    <row r="255" spans="1:24" ht="45">
      <c r="A255" s="233" t="s">
        <v>740</v>
      </c>
      <c r="B255" s="232" t="s">
        <v>1558</v>
      </c>
      <c r="C255" s="232">
        <v>0</v>
      </c>
      <c r="D255" s="232">
        <v>0</v>
      </c>
      <c r="E255" s="232">
        <v>0</v>
      </c>
      <c r="F255" s="232">
        <v>0</v>
      </c>
      <c r="G255" s="232">
        <v>0</v>
      </c>
      <c r="H255" s="232">
        <v>0</v>
      </c>
      <c r="I255" s="232">
        <v>0</v>
      </c>
      <c r="J255" s="232">
        <v>1</v>
      </c>
      <c r="K255" s="232"/>
      <c r="L255" s="232" t="s">
        <v>9</v>
      </c>
      <c r="M255" s="232" t="s">
        <v>1032</v>
      </c>
      <c r="N255" s="232" t="s">
        <v>1032</v>
      </c>
      <c r="O255" s="232" t="s">
        <v>1032</v>
      </c>
      <c r="P255" s="232" t="s">
        <v>1032</v>
      </c>
      <c r="Q255" s="232" t="s">
        <v>746</v>
      </c>
      <c r="R255" s="232"/>
      <c r="S255" s="232" t="s">
        <v>1032</v>
      </c>
      <c r="T255" s="232" t="s">
        <v>1032</v>
      </c>
      <c r="U255" s="232" t="s">
        <v>149</v>
      </c>
      <c r="V255" s="232" t="s">
        <v>1032</v>
      </c>
      <c r="W255" s="232" t="s">
        <v>46</v>
      </c>
      <c r="X255" s="232">
        <f t="shared" si="3"/>
        <v>20</v>
      </c>
    </row>
    <row r="256" spans="1:24" ht="75">
      <c r="A256" s="233" t="s">
        <v>743</v>
      </c>
      <c r="B256" s="232" t="s">
        <v>1078</v>
      </c>
      <c r="C256" s="232">
        <v>0</v>
      </c>
      <c r="D256" s="232">
        <v>0</v>
      </c>
      <c r="E256" s="232">
        <v>0</v>
      </c>
      <c r="F256" s="232">
        <v>0</v>
      </c>
      <c r="G256" s="232">
        <v>0</v>
      </c>
      <c r="H256" s="232">
        <v>0</v>
      </c>
      <c r="I256" s="232">
        <v>0</v>
      </c>
      <c r="J256" s="232">
        <v>1</v>
      </c>
      <c r="K256" s="232"/>
      <c r="L256" s="232" t="s">
        <v>9</v>
      </c>
      <c r="M256" s="232" t="s">
        <v>1032</v>
      </c>
      <c r="N256" s="232" t="s">
        <v>1032</v>
      </c>
      <c r="O256" s="232" t="s">
        <v>1032</v>
      </c>
      <c r="P256" s="232" t="s">
        <v>1032</v>
      </c>
      <c r="Q256" s="232" t="s">
        <v>1184</v>
      </c>
      <c r="S256" s="232" t="s">
        <v>1032</v>
      </c>
      <c r="T256" s="232" t="s">
        <v>1032</v>
      </c>
      <c r="U256" s="232" t="s">
        <v>149</v>
      </c>
      <c r="V256" s="232" t="s">
        <v>1032</v>
      </c>
      <c r="W256" s="232" t="s">
        <v>46</v>
      </c>
      <c r="X256" s="232">
        <f t="shared" ref="X256:X318" si="4">IF($W256="Critical Importance",20,IF($W256="Minor Importance",5,10))</f>
        <v>20</v>
      </c>
    </row>
    <row r="257" spans="1:24" ht="45">
      <c r="A257" s="233" t="s">
        <v>745</v>
      </c>
      <c r="B257" s="232" t="s">
        <v>1185</v>
      </c>
      <c r="C257" s="232">
        <v>0</v>
      </c>
      <c r="D257" s="232">
        <v>0</v>
      </c>
      <c r="E257" s="232">
        <v>0</v>
      </c>
      <c r="F257" s="232">
        <v>0</v>
      </c>
      <c r="G257" s="232">
        <v>0</v>
      </c>
      <c r="H257" s="232">
        <v>0</v>
      </c>
      <c r="I257" s="232">
        <v>0</v>
      </c>
      <c r="J257" s="232">
        <v>1</v>
      </c>
      <c r="K257" s="232"/>
      <c r="L257" s="232" t="s">
        <v>9</v>
      </c>
      <c r="M257" s="232" t="s">
        <v>1032</v>
      </c>
      <c r="N257" s="232" t="s">
        <v>1032</v>
      </c>
      <c r="O257" s="232" t="s">
        <v>1032</v>
      </c>
      <c r="P257" s="232" t="s">
        <v>1032</v>
      </c>
      <c r="Q257" s="232" t="s">
        <v>739</v>
      </c>
      <c r="R257" s="232"/>
      <c r="S257" s="232" t="s">
        <v>1032</v>
      </c>
      <c r="T257" s="232" t="s">
        <v>1032</v>
      </c>
      <c r="U257" s="232" t="s">
        <v>149</v>
      </c>
      <c r="V257" s="232" t="s">
        <v>1032</v>
      </c>
      <c r="W257" s="232" t="s">
        <v>41</v>
      </c>
      <c r="X257" s="232">
        <f t="shared" si="4"/>
        <v>5</v>
      </c>
    </row>
    <row r="258" spans="1:24" ht="30">
      <c r="A258" s="233" t="s">
        <v>747</v>
      </c>
      <c r="B258" s="232" t="s">
        <v>1029</v>
      </c>
      <c r="C258" s="232">
        <v>0</v>
      </c>
      <c r="D258" s="232">
        <v>0</v>
      </c>
      <c r="E258" s="232">
        <v>0</v>
      </c>
      <c r="F258" s="232">
        <v>0</v>
      </c>
      <c r="G258" s="232">
        <v>0</v>
      </c>
      <c r="H258" s="232">
        <v>0</v>
      </c>
      <c r="I258" s="232">
        <v>0</v>
      </c>
      <c r="J258" s="232">
        <v>1</v>
      </c>
      <c r="K258" s="232"/>
      <c r="L258" s="232" t="s">
        <v>9</v>
      </c>
      <c r="M258" s="232" t="s">
        <v>1032</v>
      </c>
      <c r="N258" s="232" t="s">
        <v>1032</v>
      </c>
      <c r="O258" s="232" t="s">
        <v>1032</v>
      </c>
      <c r="P258" s="232" t="s">
        <v>1032</v>
      </c>
      <c r="Q258" s="232" t="s">
        <v>1032</v>
      </c>
      <c r="R258" s="232"/>
      <c r="S258" s="232" t="s">
        <v>1032</v>
      </c>
      <c r="T258" s="232" t="s">
        <v>1032</v>
      </c>
      <c r="U258" s="232" t="s">
        <v>149</v>
      </c>
      <c r="V258" s="232" t="s">
        <v>1032</v>
      </c>
      <c r="W258" s="232" t="s">
        <v>41</v>
      </c>
      <c r="X258" s="232">
        <f t="shared" si="4"/>
        <v>5</v>
      </c>
    </row>
    <row r="259" spans="1:24" ht="45">
      <c r="A259" s="233" t="s">
        <v>748</v>
      </c>
      <c r="B259" s="232" t="s">
        <v>1186</v>
      </c>
      <c r="C259" s="232">
        <v>0</v>
      </c>
      <c r="D259" s="232">
        <v>0</v>
      </c>
      <c r="E259" s="232">
        <v>0</v>
      </c>
      <c r="F259" s="232">
        <v>0</v>
      </c>
      <c r="G259" s="232">
        <v>0</v>
      </c>
      <c r="H259" s="232">
        <v>0</v>
      </c>
      <c r="I259" s="232">
        <v>0</v>
      </c>
      <c r="J259" s="232">
        <v>1</v>
      </c>
      <c r="K259" s="232"/>
      <c r="L259" s="232" t="s">
        <v>9</v>
      </c>
      <c r="M259" s="232" t="s">
        <v>1032</v>
      </c>
      <c r="N259" s="232" t="s">
        <v>1032</v>
      </c>
      <c r="O259" s="232" t="s">
        <v>1032</v>
      </c>
      <c r="P259" s="232" t="s">
        <v>1032</v>
      </c>
      <c r="Q259" s="232" t="s">
        <v>750</v>
      </c>
      <c r="R259" s="232"/>
      <c r="S259" s="232" t="s">
        <v>1032</v>
      </c>
      <c r="T259" s="232" t="s">
        <v>1032</v>
      </c>
      <c r="U259" s="232" t="s">
        <v>149</v>
      </c>
      <c r="V259" s="232" t="s">
        <v>1032</v>
      </c>
      <c r="W259" s="232" t="s">
        <v>41</v>
      </c>
      <c r="X259" s="232">
        <f t="shared" si="4"/>
        <v>5</v>
      </c>
    </row>
    <row r="260" spans="1:24" ht="45">
      <c r="A260" s="233" t="s">
        <v>749</v>
      </c>
      <c r="B260" s="232" t="s">
        <v>1187</v>
      </c>
      <c r="C260" s="232">
        <v>0</v>
      </c>
      <c r="D260" s="232">
        <v>0</v>
      </c>
      <c r="E260" s="232">
        <v>0</v>
      </c>
      <c r="F260" s="232">
        <v>0</v>
      </c>
      <c r="G260" s="232">
        <v>0</v>
      </c>
      <c r="H260" s="232">
        <v>0</v>
      </c>
      <c r="I260" s="232">
        <v>0</v>
      </c>
      <c r="J260" s="232">
        <v>1</v>
      </c>
      <c r="K260" s="232"/>
      <c r="L260" s="232" t="s">
        <v>9</v>
      </c>
      <c r="M260" s="232" t="s">
        <v>1032</v>
      </c>
      <c r="N260" s="232" t="s">
        <v>1032</v>
      </c>
      <c r="O260" s="232" t="s">
        <v>1032</v>
      </c>
      <c r="P260" s="232" t="s">
        <v>1032</v>
      </c>
      <c r="Q260" s="232" t="s">
        <v>1188</v>
      </c>
      <c r="R260" s="232"/>
      <c r="S260" s="232" t="s">
        <v>1032</v>
      </c>
      <c r="T260" s="232" t="s">
        <v>1032</v>
      </c>
      <c r="U260" s="232" t="s">
        <v>149</v>
      </c>
      <c r="V260" s="232" t="s">
        <v>1032</v>
      </c>
      <c r="W260" s="232" t="s">
        <v>41</v>
      </c>
      <c r="X260" s="232">
        <f t="shared" si="4"/>
        <v>5</v>
      </c>
    </row>
    <row r="261" spans="1:24" ht="45">
      <c r="A261" s="233" t="s">
        <v>751</v>
      </c>
      <c r="B261" s="232" t="s">
        <v>741</v>
      </c>
      <c r="C261" s="232">
        <v>0</v>
      </c>
      <c r="D261" s="232">
        <v>0</v>
      </c>
      <c r="E261" s="232">
        <v>0</v>
      </c>
      <c r="F261" s="232">
        <v>0</v>
      </c>
      <c r="G261" s="232">
        <v>0</v>
      </c>
      <c r="H261" s="232">
        <v>0</v>
      </c>
      <c r="I261" s="232">
        <v>0</v>
      </c>
      <c r="J261" s="232">
        <v>1</v>
      </c>
      <c r="K261" s="232"/>
      <c r="L261" s="232" t="s">
        <v>9</v>
      </c>
      <c r="M261" s="232" t="s">
        <v>1032</v>
      </c>
      <c r="N261" s="232" t="s">
        <v>1032</v>
      </c>
      <c r="O261" s="232" t="s">
        <v>742</v>
      </c>
      <c r="P261" s="232" t="s">
        <v>1032</v>
      </c>
      <c r="Q261" s="232" t="s">
        <v>1032</v>
      </c>
      <c r="R261" s="232"/>
      <c r="S261" s="232" t="s">
        <v>1032</v>
      </c>
      <c r="T261" s="232" t="s">
        <v>1032</v>
      </c>
      <c r="U261" s="232" t="s">
        <v>40</v>
      </c>
      <c r="V261" s="232" t="s">
        <v>1032</v>
      </c>
      <c r="W261" s="232" t="s">
        <v>41</v>
      </c>
      <c r="X261" s="232">
        <f t="shared" si="4"/>
        <v>5</v>
      </c>
    </row>
    <row r="262" spans="1:24" ht="60">
      <c r="A262" s="233" t="s">
        <v>752</v>
      </c>
      <c r="B262" s="232" t="s">
        <v>753</v>
      </c>
      <c r="C262" s="232">
        <v>0</v>
      </c>
      <c r="D262" s="232">
        <v>0</v>
      </c>
      <c r="E262" s="232">
        <v>0</v>
      </c>
      <c r="F262" s="232">
        <v>0</v>
      </c>
      <c r="G262" s="232">
        <v>0</v>
      </c>
      <c r="H262" s="232">
        <v>0</v>
      </c>
      <c r="I262" s="232">
        <v>0</v>
      </c>
      <c r="J262" s="232">
        <v>1</v>
      </c>
      <c r="K262" s="232"/>
      <c r="L262" s="232" t="s">
        <v>9</v>
      </c>
      <c r="M262" s="232" t="s">
        <v>1032</v>
      </c>
      <c r="N262" s="232" t="s">
        <v>1032</v>
      </c>
      <c r="O262" s="232" t="s">
        <v>1032</v>
      </c>
      <c r="P262" s="232" t="s">
        <v>754</v>
      </c>
      <c r="Q262" s="232" t="s">
        <v>755</v>
      </c>
      <c r="R262" s="232"/>
      <c r="S262" s="232" t="s">
        <v>1529</v>
      </c>
      <c r="T262" s="232" t="s">
        <v>1529</v>
      </c>
      <c r="U262" s="232" t="s">
        <v>40</v>
      </c>
      <c r="V262" s="232" t="s">
        <v>1032</v>
      </c>
      <c r="W262" s="232" t="s">
        <v>41</v>
      </c>
      <c r="X262" s="232">
        <f t="shared" si="4"/>
        <v>5</v>
      </c>
    </row>
    <row r="263" spans="1:24" ht="45">
      <c r="A263" s="233" t="s">
        <v>756</v>
      </c>
      <c r="B263" s="232" t="s">
        <v>1189</v>
      </c>
      <c r="C263" s="232">
        <v>0</v>
      </c>
      <c r="D263" s="232">
        <v>0</v>
      </c>
      <c r="E263" s="232">
        <v>0</v>
      </c>
      <c r="F263" s="232">
        <v>0</v>
      </c>
      <c r="G263" s="232">
        <v>0</v>
      </c>
      <c r="H263" s="232">
        <v>0</v>
      </c>
      <c r="I263" s="232">
        <v>0</v>
      </c>
      <c r="J263" s="232">
        <v>1</v>
      </c>
      <c r="K263" s="232"/>
      <c r="L263" s="232" t="s">
        <v>9</v>
      </c>
      <c r="M263" s="232" t="s">
        <v>1032</v>
      </c>
      <c r="N263" s="232" t="s">
        <v>1032</v>
      </c>
      <c r="O263" s="232" t="s">
        <v>1032</v>
      </c>
      <c r="P263" s="232" t="s">
        <v>757</v>
      </c>
      <c r="Q263" s="232" t="s">
        <v>758</v>
      </c>
      <c r="R263" s="232"/>
      <c r="S263" s="232" t="s">
        <v>1032</v>
      </c>
      <c r="T263" s="232" t="s">
        <v>1032</v>
      </c>
      <c r="U263" s="232" t="s">
        <v>40</v>
      </c>
      <c r="V263" s="232" t="s">
        <v>1032</v>
      </c>
      <c r="W263" s="232" t="s">
        <v>41</v>
      </c>
      <c r="X263" s="232">
        <f t="shared" si="4"/>
        <v>5</v>
      </c>
    </row>
    <row r="264" spans="1:24" ht="30">
      <c r="A264" s="233" t="s">
        <v>759</v>
      </c>
      <c r="B264" s="232" t="s">
        <v>529</v>
      </c>
      <c r="C264" s="232">
        <v>0</v>
      </c>
      <c r="D264" s="232">
        <v>0</v>
      </c>
      <c r="E264" s="232">
        <v>0</v>
      </c>
      <c r="F264" s="232">
        <v>0</v>
      </c>
      <c r="G264" s="232">
        <v>0</v>
      </c>
      <c r="H264" s="232">
        <v>0</v>
      </c>
      <c r="I264" s="232">
        <v>0</v>
      </c>
      <c r="J264" s="232">
        <v>1</v>
      </c>
      <c r="K264" s="232"/>
      <c r="L264" s="232" t="s">
        <v>9</v>
      </c>
      <c r="M264" s="232" t="s">
        <v>1032</v>
      </c>
      <c r="N264" s="232" t="s">
        <v>1032</v>
      </c>
      <c r="O264" s="232" t="s">
        <v>1032</v>
      </c>
      <c r="P264" s="232" t="s">
        <v>760</v>
      </c>
      <c r="Q264" s="232" t="s">
        <v>761</v>
      </c>
      <c r="R264" s="232"/>
      <c r="S264" s="232" t="s">
        <v>1032</v>
      </c>
      <c r="T264" s="232" t="s">
        <v>1032</v>
      </c>
      <c r="U264" s="232" t="s">
        <v>40</v>
      </c>
      <c r="V264" s="232" t="s">
        <v>1032</v>
      </c>
      <c r="W264" s="232" t="s">
        <v>75</v>
      </c>
      <c r="X264" s="232">
        <f t="shared" si="4"/>
        <v>10</v>
      </c>
    </row>
    <row r="265" spans="1:24" ht="30">
      <c r="A265" s="233" t="s">
        <v>762</v>
      </c>
      <c r="B265" s="232" t="s">
        <v>763</v>
      </c>
      <c r="C265" s="232">
        <v>0</v>
      </c>
      <c r="D265" s="232">
        <v>0</v>
      </c>
      <c r="E265" s="232">
        <v>0</v>
      </c>
      <c r="F265" s="232">
        <v>0</v>
      </c>
      <c r="G265" s="232">
        <v>0</v>
      </c>
      <c r="H265" s="232">
        <v>0</v>
      </c>
      <c r="I265" s="232">
        <v>0</v>
      </c>
      <c r="J265" s="232">
        <v>1</v>
      </c>
      <c r="K265" s="232"/>
      <c r="L265" s="232" t="s">
        <v>9</v>
      </c>
      <c r="M265" s="232" t="s">
        <v>1032</v>
      </c>
      <c r="N265" s="232" t="s">
        <v>1032</v>
      </c>
      <c r="O265" s="232" t="s">
        <v>1032</v>
      </c>
      <c r="P265" s="232" t="s">
        <v>760</v>
      </c>
      <c r="Q265" s="232" t="s">
        <v>1032</v>
      </c>
      <c r="R265" s="232"/>
      <c r="S265" s="232" t="s">
        <v>1032</v>
      </c>
      <c r="T265" s="232" t="s">
        <v>1032</v>
      </c>
      <c r="U265" s="232" t="s">
        <v>40</v>
      </c>
      <c r="V265" s="232" t="s">
        <v>1032</v>
      </c>
      <c r="W265" s="232" t="s">
        <v>41</v>
      </c>
      <c r="X265" s="232">
        <f t="shared" si="4"/>
        <v>5</v>
      </c>
    </row>
    <row r="266" spans="1:24" ht="45">
      <c r="A266" s="233" t="s">
        <v>764</v>
      </c>
      <c r="B266" s="232" t="s">
        <v>765</v>
      </c>
      <c r="C266" s="232">
        <v>0</v>
      </c>
      <c r="D266" s="232">
        <v>0</v>
      </c>
      <c r="E266" s="232">
        <v>0</v>
      </c>
      <c r="F266" s="232">
        <v>0</v>
      </c>
      <c r="G266" s="232">
        <v>0</v>
      </c>
      <c r="H266" s="232">
        <v>0</v>
      </c>
      <c r="I266" s="232">
        <v>0</v>
      </c>
      <c r="J266" s="232">
        <v>1</v>
      </c>
      <c r="K266" s="232"/>
      <c r="L266" s="232" t="s">
        <v>9</v>
      </c>
      <c r="M266" s="232" t="s">
        <v>1032</v>
      </c>
      <c r="N266" s="232" t="s">
        <v>1032</v>
      </c>
      <c r="O266" s="232" t="s">
        <v>536</v>
      </c>
      <c r="P266" s="232" t="s">
        <v>1032</v>
      </c>
      <c r="Q266" s="232" t="s">
        <v>1032</v>
      </c>
      <c r="R266" s="232"/>
      <c r="S266" s="232" t="s">
        <v>1032</v>
      </c>
      <c r="T266" s="232" t="s">
        <v>1032</v>
      </c>
      <c r="U266" s="232" t="s">
        <v>40</v>
      </c>
      <c r="V266" s="232" t="s">
        <v>1032</v>
      </c>
      <c r="W266" s="232" t="s">
        <v>41</v>
      </c>
      <c r="X266" s="232">
        <f t="shared" si="4"/>
        <v>5</v>
      </c>
    </row>
    <row r="267" spans="1:24" ht="30">
      <c r="A267" s="233" t="s">
        <v>766</v>
      </c>
      <c r="B267" s="232" t="s">
        <v>1079</v>
      </c>
      <c r="C267" s="232">
        <v>0</v>
      </c>
      <c r="D267" s="232">
        <v>0</v>
      </c>
      <c r="E267" s="232">
        <v>0</v>
      </c>
      <c r="F267" s="232">
        <v>0</v>
      </c>
      <c r="G267" s="232">
        <v>0</v>
      </c>
      <c r="H267" s="232">
        <v>0</v>
      </c>
      <c r="I267" s="232">
        <v>0</v>
      </c>
      <c r="J267" s="232">
        <v>1</v>
      </c>
      <c r="K267" s="232"/>
      <c r="L267" s="232" t="s">
        <v>9</v>
      </c>
      <c r="M267" s="232" t="s">
        <v>1032</v>
      </c>
      <c r="N267" s="232" t="s">
        <v>1032</v>
      </c>
      <c r="O267" s="232" t="s">
        <v>1032</v>
      </c>
      <c r="P267" s="232" t="s">
        <v>767</v>
      </c>
      <c r="Q267" s="232" t="s">
        <v>1032</v>
      </c>
      <c r="R267" s="232"/>
      <c r="S267" s="232" t="s">
        <v>1032</v>
      </c>
      <c r="T267" s="232" t="s">
        <v>1032</v>
      </c>
      <c r="U267" s="232" t="s">
        <v>40</v>
      </c>
      <c r="V267" s="232" t="s">
        <v>1032</v>
      </c>
      <c r="W267" s="232" t="s">
        <v>46</v>
      </c>
      <c r="X267" s="232">
        <f t="shared" si="4"/>
        <v>20</v>
      </c>
    </row>
    <row r="268" spans="1:24" ht="90">
      <c r="A268" s="233" t="s">
        <v>768</v>
      </c>
      <c r="B268" s="232" t="s">
        <v>769</v>
      </c>
      <c r="C268" s="232">
        <v>0</v>
      </c>
      <c r="D268" s="232">
        <v>0</v>
      </c>
      <c r="E268" s="232">
        <v>0</v>
      </c>
      <c r="F268" s="232">
        <v>0</v>
      </c>
      <c r="G268" s="232">
        <v>0</v>
      </c>
      <c r="H268" s="232">
        <v>0</v>
      </c>
      <c r="I268" s="232">
        <v>0</v>
      </c>
      <c r="J268" s="232">
        <v>1</v>
      </c>
      <c r="K268" s="232"/>
      <c r="L268" s="232" t="s">
        <v>9</v>
      </c>
      <c r="M268" s="232" t="s">
        <v>1032</v>
      </c>
      <c r="N268" s="232" t="s">
        <v>1032</v>
      </c>
      <c r="O268" s="232" t="s">
        <v>1032</v>
      </c>
      <c r="P268" s="232" t="s">
        <v>770</v>
      </c>
      <c r="Q268" s="232" t="s">
        <v>771</v>
      </c>
      <c r="R268" s="232"/>
      <c r="S268" s="232" t="s">
        <v>1032</v>
      </c>
      <c r="T268" s="232" t="s">
        <v>1032</v>
      </c>
      <c r="U268" s="232" t="s">
        <v>40</v>
      </c>
      <c r="V268" s="232" t="s">
        <v>1032</v>
      </c>
      <c r="W268" s="232" t="s">
        <v>41</v>
      </c>
      <c r="X268" s="232">
        <f t="shared" si="4"/>
        <v>5</v>
      </c>
    </row>
    <row r="269" spans="1:24" ht="45">
      <c r="A269" s="233" t="s">
        <v>772</v>
      </c>
      <c r="B269" s="232" t="s">
        <v>773</v>
      </c>
      <c r="C269" s="232">
        <v>0</v>
      </c>
      <c r="D269" s="232">
        <v>0</v>
      </c>
      <c r="E269" s="232">
        <v>0</v>
      </c>
      <c r="F269" s="232">
        <v>0</v>
      </c>
      <c r="G269" s="232">
        <v>0</v>
      </c>
      <c r="H269" s="232">
        <v>0</v>
      </c>
      <c r="I269" s="232">
        <v>0</v>
      </c>
      <c r="J269" s="232">
        <v>1</v>
      </c>
      <c r="K269" s="232"/>
      <c r="L269" s="232" t="s">
        <v>9</v>
      </c>
      <c r="M269" s="232" t="s">
        <v>1032</v>
      </c>
      <c r="N269" s="232" t="s">
        <v>1032</v>
      </c>
      <c r="O269" s="232" t="s">
        <v>1032</v>
      </c>
      <c r="P269" s="232" t="s">
        <v>774</v>
      </c>
      <c r="Q269" s="232" t="s">
        <v>1032</v>
      </c>
      <c r="R269" s="232" t="s">
        <v>1615</v>
      </c>
      <c r="S269" s="232" t="s">
        <v>1032</v>
      </c>
      <c r="T269" s="232" t="s">
        <v>1032</v>
      </c>
      <c r="U269" s="232" t="s">
        <v>40</v>
      </c>
      <c r="V269" s="232" t="s">
        <v>1032</v>
      </c>
      <c r="W269" s="232" t="s">
        <v>41</v>
      </c>
      <c r="X269" s="232">
        <f t="shared" si="4"/>
        <v>5</v>
      </c>
    </row>
    <row r="270" spans="1:24" ht="45">
      <c r="A270" s="233" t="s">
        <v>775</v>
      </c>
      <c r="B270" s="232" t="s">
        <v>1031</v>
      </c>
      <c r="C270" s="232">
        <v>0</v>
      </c>
      <c r="D270" s="232">
        <v>0</v>
      </c>
      <c r="E270" s="232">
        <v>0</v>
      </c>
      <c r="F270" s="232">
        <v>0</v>
      </c>
      <c r="G270" s="232">
        <v>0</v>
      </c>
      <c r="H270" s="232">
        <v>0</v>
      </c>
      <c r="I270" s="232">
        <v>0</v>
      </c>
      <c r="J270" s="232">
        <v>1</v>
      </c>
      <c r="K270" s="232"/>
      <c r="L270" s="232" t="s">
        <v>9</v>
      </c>
      <c r="M270" s="232" t="s">
        <v>1032</v>
      </c>
      <c r="N270" s="232" t="s">
        <v>1032</v>
      </c>
      <c r="O270" s="232" t="s">
        <v>1032</v>
      </c>
      <c r="P270" s="232" t="s">
        <v>1032</v>
      </c>
      <c r="Q270" s="232" t="s">
        <v>776</v>
      </c>
      <c r="R270" s="232"/>
      <c r="S270" s="232" t="s">
        <v>1032</v>
      </c>
      <c r="T270" s="232" t="s">
        <v>1032</v>
      </c>
      <c r="U270" s="232" t="s">
        <v>149</v>
      </c>
      <c r="V270" s="232" t="s">
        <v>1032</v>
      </c>
      <c r="W270" s="232" t="s">
        <v>41</v>
      </c>
      <c r="X270" s="232">
        <f t="shared" si="4"/>
        <v>5</v>
      </c>
    </row>
    <row r="271" spans="1:24" ht="45">
      <c r="A271" s="233" t="s">
        <v>777</v>
      </c>
      <c r="B271" s="232" t="s">
        <v>778</v>
      </c>
      <c r="C271" s="232">
        <v>0</v>
      </c>
      <c r="D271" s="232">
        <v>0</v>
      </c>
      <c r="E271" s="232">
        <v>0</v>
      </c>
      <c r="F271" s="232">
        <v>0</v>
      </c>
      <c r="G271" s="232">
        <v>0</v>
      </c>
      <c r="H271" s="232">
        <v>0</v>
      </c>
      <c r="I271" s="232">
        <v>0</v>
      </c>
      <c r="J271" s="232">
        <v>1</v>
      </c>
      <c r="K271" s="232"/>
      <c r="L271" s="232" t="s">
        <v>9</v>
      </c>
      <c r="M271" s="232" t="s">
        <v>1032</v>
      </c>
      <c r="N271" s="232" t="s">
        <v>1032</v>
      </c>
      <c r="O271" s="232" t="s">
        <v>1032</v>
      </c>
      <c r="P271" s="232" t="s">
        <v>1032</v>
      </c>
      <c r="Q271" s="232" t="s">
        <v>779</v>
      </c>
      <c r="R271" s="232"/>
      <c r="S271" s="232" t="s">
        <v>1032</v>
      </c>
      <c r="T271" s="232" t="s">
        <v>1032</v>
      </c>
      <c r="U271" s="232" t="s">
        <v>40</v>
      </c>
      <c r="V271" s="232" t="s">
        <v>1032</v>
      </c>
      <c r="W271" s="232" t="s">
        <v>41</v>
      </c>
      <c r="X271" s="232">
        <f t="shared" si="4"/>
        <v>5</v>
      </c>
    </row>
    <row r="272" spans="1:24" ht="45">
      <c r="A272" s="233" t="s">
        <v>780</v>
      </c>
      <c r="B272" s="232" t="s">
        <v>781</v>
      </c>
      <c r="C272" s="232">
        <v>0</v>
      </c>
      <c r="D272" s="232">
        <v>0</v>
      </c>
      <c r="E272" s="232">
        <v>0</v>
      </c>
      <c r="F272" s="232">
        <v>0</v>
      </c>
      <c r="G272" s="232">
        <v>0</v>
      </c>
      <c r="H272" s="232">
        <v>0</v>
      </c>
      <c r="I272" s="232">
        <v>0</v>
      </c>
      <c r="J272" s="232">
        <v>1</v>
      </c>
      <c r="K272" s="232"/>
      <c r="L272" s="232" t="s">
        <v>9</v>
      </c>
      <c r="M272" s="232" t="s">
        <v>1032</v>
      </c>
      <c r="N272" s="232" t="s">
        <v>1032</v>
      </c>
      <c r="O272" s="232" t="s">
        <v>782</v>
      </c>
      <c r="P272" s="232" t="s">
        <v>1032</v>
      </c>
      <c r="Q272" s="232" t="s">
        <v>1032</v>
      </c>
      <c r="R272" s="232"/>
      <c r="S272" s="232" t="s">
        <v>1032</v>
      </c>
      <c r="T272" s="232" t="s">
        <v>1032</v>
      </c>
      <c r="U272" s="232" t="s">
        <v>40</v>
      </c>
      <c r="V272" s="232" t="s">
        <v>1032</v>
      </c>
      <c r="W272" s="232" t="s">
        <v>41</v>
      </c>
      <c r="X272" s="232">
        <f t="shared" si="4"/>
        <v>5</v>
      </c>
    </row>
    <row r="273" spans="1:24" ht="45">
      <c r="A273" s="233" t="s">
        <v>783</v>
      </c>
      <c r="B273" s="232" t="s">
        <v>1080</v>
      </c>
      <c r="C273" s="232">
        <v>0</v>
      </c>
      <c r="D273" s="232">
        <v>0</v>
      </c>
      <c r="E273" s="232">
        <v>0</v>
      </c>
      <c r="F273" s="232">
        <v>0</v>
      </c>
      <c r="G273" s="232">
        <v>0</v>
      </c>
      <c r="H273" s="232">
        <v>0</v>
      </c>
      <c r="I273" s="232">
        <v>0</v>
      </c>
      <c r="J273" s="232">
        <v>1</v>
      </c>
      <c r="K273" s="232"/>
      <c r="L273" s="232" t="s">
        <v>9</v>
      </c>
      <c r="M273" s="232" t="s">
        <v>1032</v>
      </c>
      <c r="N273" s="232" t="s">
        <v>1032</v>
      </c>
      <c r="O273" s="232" t="s">
        <v>1032</v>
      </c>
      <c r="P273" s="232" t="s">
        <v>1032</v>
      </c>
      <c r="Q273" s="232" t="s">
        <v>784</v>
      </c>
      <c r="R273" s="232"/>
      <c r="S273" s="232" t="s">
        <v>1032</v>
      </c>
      <c r="T273" s="232" t="s">
        <v>1032</v>
      </c>
      <c r="U273" s="232" t="s">
        <v>149</v>
      </c>
      <c r="V273" s="232" t="s">
        <v>1032</v>
      </c>
      <c r="W273" s="232" t="s">
        <v>46</v>
      </c>
      <c r="X273" s="232">
        <f t="shared" si="4"/>
        <v>20</v>
      </c>
    </row>
    <row r="274" spans="1:24" ht="30">
      <c r="A274" s="233" t="s">
        <v>785</v>
      </c>
      <c r="B274" s="232" t="s">
        <v>786</v>
      </c>
      <c r="C274" s="232">
        <v>0</v>
      </c>
      <c r="D274" s="232">
        <v>0</v>
      </c>
      <c r="E274" s="232">
        <v>0</v>
      </c>
      <c r="F274" s="232">
        <v>0</v>
      </c>
      <c r="G274" s="232">
        <v>0</v>
      </c>
      <c r="H274" s="232">
        <v>0</v>
      </c>
      <c r="I274" s="232">
        <v>0</v>
      </c>
      <c r="J274" s="232">
        <v>1</v>
      </c>
      <c r="K274" s="232"/>
      <c r="L274" s="232" t="s">
        <v>9</v>
      </c>
      <c r="M274" s="232" t="s">
        <v>1032</v>
      </c>
      <c r="N274" s="232" t="s">
        <v>1032</v>
      </c>
      <c r="O274" s="232" t="s">
        <v>1032</v>
      </c>
      <c r="P274" s="232" t="s">
        <v>1032</v>
      </c>
      <c r="Q274" s="232" t="s">
        <v>1032</v>
      </c>
      <c r="R274" s="232"/>
      <c r="S274" s="232" t="s">
        <v>1032</v>
      </c>
      <c r="T274" s="232" t="s">
        <v>1032</v>
      </c>
      <c r="U274" s="232" t="s">
        <v>40</v>
      </c>
      <c r="V274" s="232" t="s">
        <v>1032</v>
      </c>
      <c r="W274" s="232" t="s">
        <v>41</v>
      </c>
      <c r="X274" s="232">
        <f t="shared" si="4"/>
        <v>5</v>
      </c>
    </row>
    <row r="275" spans="1:24" ht="45">
      <c r="A275" s="233" t="s">
        <v>787</v>
      </c>
      <c r="B275" s="232" t="s">
        <v>788</v>
      </c>
      <c r="C275" s="232">
        <v>0</v>
      </c>
      <c r="D275" s="232">
        <v>0</v>
      </c>
      <c r="E275" s="232">
        <v>0</v>
      </c>
      <c r="F275" s="232">
        <v>0</v>
      </c>
      <c r="G275" s="232">
        <v>0</v>
      </c>
      <c r="H275" s="232">
        <v>0</v>
      </c>
      <c r="I275" s="232">
        <v>0</v>
      </c>
      <c r="J275" s="232">
        <v>1</v>
      </c>
      <c r="K275" s="232"/>
      <c r="L275" s="232" t="s">
        <v>9</v>
      </c>
      <c r="M275" s="232" t="s">
        <v>1032</v>
      </c>
      <c r="N275" s="232" t="s">
        <v>1032</v>
      </c>
      <c r="O275" s="232" t="s">
        <v>1032</v>
      </c>
      <c r="P275" s="232" t="s">
        <v>1032</v>
      </c>
      <c r="Q275" s="232" t="s">
        <v>789</v>
      </c>
      <c r="R275" s="232"/>
      <c r="S275" s="232" t="s">
        <v>1529</v>
      </c>
      <c r="T275" s="232" t="s">
        <v>1529</v>
      </c>
      <c r="U275" s="232" t="s">
        <v>149</v>
      </c>
      <c r="V275" s="232" t="s">
        <v>1032</v>
      </c>
      <c r="W275" s="232" t="s">
        <v>75</v>
      </c>
      <c r="X275" s="232">
        <f t="shared" si="4"/>
        <v>10</v>
      </c>
    </row>
    <row r="276" spans="1:24" ht="45">
      <c r="A276" s="233" t="s">
        <v>790</v>
      </c>
      <c r="B276" s="232" t="s">
        <v>1190</v>
      </c>
      <c r="C276" s="232">
        <v>0</v>
      </c>
      <c r="D276" s="232">
        <v>0</v>
      </c>
      <c r="E276" s="232">
        <v>0</v>
      </c>
      <c r="F276" s="232">
        <v>0</v>
      </c>
      <c r="G276" s="232">
        <v>0</v>
      </c>
      <c r="H276" s="232">
        <v>0</v>
      </c>
      <c r="I276" s="232">
        <v>0</v>
      </c>
      <c r="J276" s="232">
        <v>1</v>
      </c>
      <c r="K276" s="232"/>
      <c r="L276" s="232" t="s">
        <v>9</v>
      </c>
      <c r="M276" s="232" t="s">
        <v>1032</v>
      </c>
      <c r="N276" s="232" t="s">
        <v>1032</v>
      </c>
      <c r="O276" s="232" t="s">
        <v>1032</v>
      </c>
      <c r="P276" s="232" t="s">
        <v>1032</v>
      </c>
      <c r="Q276" s="232" t="s">
        <v>791</v>
      </c>
      <c r="R276" s="232"/>
      <c r="S276" s="232" t="s">
        <v>1032</v>
      </c>
      <c r="T276" s="232" t="s">
        <v>1032</v>
      </c>
      <c r="U276" s="232" t="s">
        <v>40</v>
      </c>
      <c r="V276" s="232" t="s">
        <v>1032</v>
      </c>
      <c r="W276" s="232" t="s">
        <v>75</v>
      </c>
      <c r="X276" s="232">
        <f t="shared" si="4"/>
        <v>10</v>
      </c>
    </row>
    <row r="277" spans="1:24" ht="30">
      <c r="A277" s="233" t="s">
        <v>792</v>
      </c>
      <c r="B277" s="232" t="s">
        <v>793</v>
      </c>
      <c r="C277" s="232">
        <v>0</v>
      </c>
      <c r="D277" s="232">
        <v>0</v>
      </c>
      <c r="E277" s="232">
        <v>0</v>
      </c>
      <c r="F277" s="232">
        <v>0</v>
      </c>
      <c r="G277" s="232">
        <v>0</v>
      </c>
      <c r="H277" s="232">
        <v>0</v>
      </c>
      <c r="I277" s="232">
        <v>0</v>
      </c>
      <c r="J277" s="232">
        <v>1</v>
      </c>
      <c r="K277" s="232"/>
      <c r="L277" s="232" t="s">
        <v>9</v>
      </c>
      <c r="M277" s="232" t="s">
        <v>1032</v>
      </c>
      <c r="N277" s="232" t="s">
        <v>1032</v>
      </c>
      <c r="O277" s="232" t="s">
        <v>1032</v>
      </c>
      <c r="P277" s="232" t="s">
        <v>1191</v>
      </c>
      <c r="Q277" s="232" t="s">
        <v>1032</v>
      </c>
      <c r="R277" s="232"/>
      <c r="S277" s="232" t="s">
        <v>1032</v>
      </c>
      <c r="T277" s="232" t="s">
        <v>1032</v>
      </c>
      <c r="U277" s="232" t="s">
        <v>40</v>
      </c>
      <c r="V277" s="232" t="s">
        <v>1032</v>
      </c>
      <c r="W277" s="232" t="s">
        <v>75</v>
      </c>
      <c r="X277" s="232">
        <f t="shared" si="4"/>
        <v>10</v>
      </c>
    </row>
    <row r="278" spans="1:24" ht="45">
      <c r="A278" s="233" t="s">
        <v>794</v>
      </c>
      <c r="B278" s="232" t="s">
        <v>795</v>
      </c>
      <c r="C278" s="232">
        <v>0</v>
      </c>
      <c r="D278" s="232">
        <v>0</v>
      </c>
      <c r="E278" s="232">
        <v>0</v>
      </c>
      <c r="F278" s="232">
        <v>0</v>
      </c>
      <c r="G278" s="232">
        <v>0</v>
      </c>
      <c r="H278" s="232">
        <v>0</v>
      </c>
      <c r="I278" s="232">
        <v>0</v>
      </c>
      <c r="J278" s="232">
        <v>1</v>
      </c>
      <c r="K278" s="232"/>
      <c r="L278" s="232" t="s">
        <v>9</v>
      </c>
      <c r="M278" s="232" t="s">
        <v>1032</v>
      </c>
      <c r="N278" s="232" t="s">
        <v>1032</v>
      </c>
      <c r="O278" s="232" t="s">
        <v>1032</v>
      </c>
      <c r="P278" s="232" t="s">
        <v>1032</v>
      </c>
      <c r="Q278" s="232" t="s">
        <v>796</v>
      </c>
      <c r="R278" s="232"/>
      <c r="S278" s="232" t="s">
        <v>1032</v>
      </c>
      <c r="T278" s="232" t="s">
        <v>1032</v>
      </c>
      <c r="U278" s="232" t="s">
        <v>149</v>
      </c>
      <c r="V278" s="232" t="s">
        <v>1032</v>
      </c>
      <c r="W278" s="232" t="s">
        <v>75</v>
      </c>
      <c r="X278" s="232">
        <f t="shared" si="4"/>
        <v>10</v>
      </c>
    </row>
    <row r="279" spans="1:24" ht="45">
      <c r="A279" s="239" t="s">
        <v>797</v>
      </c>
      <c r="B279" s="232" t="s">
        <v>798</v>
      </c>
      <c r="C279" s="232">
        <v>0</v>
      </c>
      <c r="D279" s="232">
        <v>0</v>
      </c>
      <c r="E279" s="232">
        <v>0</v>
      </c>
      <c r="F279" s="232">
        <v>0</v>
      </c>
      <c r="G279" s="232">
        <v>0</v>
      </c>
      <c r="H279" s="232">
        <v>0</v>
      </c>
      <c r="I279" s="232">
        <v>0</v>
      </c>
      <c r="J279" s="232">
        <v>1</v>
      </c>
      <c r="K279" s="232"/>
      <c r="L279" s="232" t="s">
        <v>9</v>
      </c>
      <c r="M279" s="232" t="s">
        <v>1032</v>
      </c>
      <c r="N279" s="232" t="s">
        <v>1032</v>
      </c>
      <c r="O279" s="232" t="s">
        <v>1032</v>
      </c>
      <c r="P279" s="232" t="s">
        <v>1191</v>
      </c>
      <c r="Q279" s="232" t="s">
        <v>1032</v>
      </c>
      <c r="R279" s="232" t="s">
        <v>1615</v>
      </c>
      <c r="S279" s="232" t="s">
        <v>1032</v>
      </c>
      <c r="T279" s="232" t="s">
        <v>1032</v>
      </c>
      <c r="U279" s="232" t="s">
        <v>40</v>
      </c>
      <c r="V279" s="232" t="s">
        <v>1032</v>
      </c>
      <c r="W279" s="232" t="s">
        <v>75</v>
      </c>
      <c r="X279" s="232">
        <f t="shared" si="4"/>
        <v>10</v>
      </c>
    </row>
    <row r="280" spans="1:24" ht="30">
      <c r="A280" s="240" t="s">
        <v>1094</v>
      </c>
      <c r="B280" s="237" t="s">
        <v>1288</v>
      </c>
      <c r="C280" s="233">
        <v>0</v>
      </c>
      <c r="D280" s="233">
        <v>0</v>
      </c>
      <c r="E280" s="233">
        <v>0</v>
      </c>
      <c r="F280" s="233">
        <v>0</v>
      </c>
      <c r="G280" s="233">
        <v>0</v>
      </c>
      <c r="H280" s="233">
        <v>0</v>
      </c>
      <c r="I280" s="233">
        <v>0</v>
      </c>
      <c r="J280" s="232">
        <v>1</v>
      </c>
      <c r="K280" s="232"/>
      <c r="L280" s="233" t="s">
        <v>9</v>
      </c>
      <c r="M280" s="232"/>
      <c r="N280" s="232"/>
      <c r="O280" s="232"/>
      <c r="P280" s="232"/>
      <c r="Q280" s="232"/>
      <c r="R280" s="232"/>
      <c r="S280" s="232" t="s">
        <v>1529</v>
      </c>
      <c r="T280" s="232" t="s">
        <v>1529</v>
      </c>
      <c r="U280" s="232" t="s">
        <v>40</v>
      </c>
      <c r="V280" s="232"/>
      <c r="W280" s="232" t="s">
        <v>75</v>
      </c>
      <c r="X280" s="232">
        <f t="shared" si="4"/>
        <v>10</v>
      </c>
    </row>
    <row r="281" spans="1:24" ht="60">
      <c r="A281" s="240" t="s">
        <v>1095</v>
      </c>
      <c r="B281" s="237" t="s">
        <v>799</v>
      </c>
      <c r="C281" s="233">
        <v>0</v>
      </c>
      <c r="D281" s="233">
        <v>0</v>
      </c>
      <c r="E281" s="233">
        <v>0</v>
      </c>
      <c r="F281" s="233">
        <v>0</v>
      </c>
      <c r="G281" s="233">
        <v>0</v>
      </c>
      <c r="H281" s="233">
        <v>0</v>
      </c>
      <c r="I281" s="233">
        <v>0</v>
      </c>
      <c r="J281" s="232">
        <v>1</v>
      </c>
      <c r="K281" s="232"/>
      <c r="L281" s="233" t="s">
        <v>9</v>
      </c>
      <c r="M281" s="233"/>
      <c r="N281" s="233"/>
      <c r="O281" s="233"/>
      <c r="P281" s="233"/>
      <c r="Q281" s="233"/>
      <c r="R281" s="239"/>
      <c r="S281" s="233"/>
      <c r="T281" s="233"/>
      <c r="U281" s="233" t="s">
        <v>40</v>
      </c>
      <c r="V281" s="233"/>
      <c r="W281" s="232" t="s">
        <v>75</v>
      </c>
      <c r="X281" s="232">
        <f t="shared" si="4"/>
        <v>10</v>
      </c>
    </row>
    <row r="282" spans="1:24" ht="75">
      <c r="A282" s="240" t="s">
        <v>1096</v>
      </c>
      <c r="B282" s="237" t="s">
        <v>800</v>
      </c>
      <c r="C282" s="233">
        <v>0</v>
      </c>
      <c r="D282" s="233">
        <v>0</v>
      </c>
      <c r="E282" s="233">
        <v>0</v>
      </c>
      <c r="F282" s="233">
        <v>0</v>
      </c>
      <c r="G282" s="233">
        <v>0</v>
      </c>
      <c r="H282" s="233">
        <v>0</v>
      </c>
      <c r="I282" s="233">
        <v>0</v>
      </c>
      <c r="J282" s="232">
        <v>1</v>
      </c>
      <c r="K282" s="232"/>
      <c r="L282" s="233" t="s">
        <v>9</v>
      </c>
      <c r="M282" s="233"/>
      <c r="N282" s="233"/>
      <c r="O282" s="233"/>
      <c r="P282" s="233"/>
      <c r="Q282" s="355"/>
      <c r="R282" s="357" t="s">
        <v>1633</v>
      </c>
      <c r="S282" s="356"/>
      <c r="T282" s="233"/>
      <c r="U282" s="233" t="s">
        <v>40</v>
      </c>
      <c r="V282" s="233"/>
      <c r="W282" s="232" t="s">
        <v>75</v>
      </c>
      <c r="X282" s="232">
        <f t="shared" si="4"/>
        <v>10</v>
      </c>
    </row>
    <row r="283" spans="1:24" ht="75">
      <c r="A283" s="240" t="s">
        <v>1097</v>
      </c>
      <c r="B283" s="237" t="s">
        <v>1559</v>
      </c>
      <c r="C283" s="233">
        <v>0</v>
      </c>
      <c r="D283" s="233">
        <v>0</v>
      </c>
      <c r="E283" s="233">
        <v>0</v>
      </c>
      <c r="F283" s="233">
        <v>0</v>
      </c>
      <c r="G283" s="233">
        <v>0</v>
      </c>
      <c r="H283" s="233">
        <v>0</v>
      </c>
      <c r="I283" s="233">
        <v>0</v>
      </c>
      <c r="J283" s="232">
        <v>1</v>
      </c>
      <c r="K283" s="232"/>
      <c r="L283" s="233" t="s">
        <v>9</v>
      </c>
      <c r="M283" s="233"/>
      <c r="N283" s="233"/>
      <c r="O283" s="233"/>
      <c r="P283" s="233"/>
      <c r="Q283" s="355"/>
      <c r="R283" s="357" t="s">
        <v>1634</v>
      </c>
      <c r="S283" s="356"/>
      <c r="T283" s="233"/>
      <c r="U283" s="233" t="s">
        <v>40</v>
      </c>
      <c r="V283" s="233"/>
      <c r="W283" s="232" t="s">
        <v>75</v>
      </c>
      <c r="X283" s="232">
        <f t="shared" si="4"/>
        <v>10</v>
      </c>
    </row>
    <row r="284" spans="1:24" ht="75">
      <c r="A284" s="240" t="s">
        <v>1098</v>
      </c>
      <c r="B284" s="237" t="s">
        <v>801</v>
      </c>
      <c r="C284" s="233">
        <v>0</v>
      </c>
      <c r="D284" s="233">
        <v>0</v>
      </c>
      <c r="E284" s="233">
        <v>0</v>
      </c>
      <c r="F284" s="233">
        <v>0</v>
      </c>
      <c r="G284" s="233">
        <v>0</v>
      </c>
      <c r="H284" s="233">
        <v>0</v>
      </c>
      <c r="I284" s="233">
        <v>0</v>
      </c>
      <c r="J284" s="232">
        <v>1</v>
      </c>
      <c r="K284" s="232"/>
      <c r="L284" s="233" t="s">
        <v>9</v>
      </c>
      <c r="M284" s="233"/>
      <c r="N284" s="233"/>
      <c r="O284" s="233"/>
      <c r="P284" s="233"/>
      <c r="Q284" s="355"/>
      <c r="R284" s="357" t="s">
        <v>1635</v>
      </c>
      <c r="S284" s="356"/>
      <c r="T284" s="233"/>
      <c r="U284" s="233" t="s">
        <v>40</v>
      </c>
      <c r="V284" s="233"/>
      <c r="W284" s="232" t="s">
        <v>75</v>
      </c>
      <c r="X284" s="232">
        <f t="shared" si="4"/>
        <v>10</v>
      </c>
    </row>
    <row r="285" spans="1:24" ht="75">
      <c r="A285" s="240" t="s">
        <v>1099</v>
      </c>
      <c r="B285" s="237" t="s">
        <v>802</v>
      </c>
      <c r="C285" s="233">
        <v>0</v>
      </c>
      <c r="D285" s="233">
        <v>0</v>
      </c>
      <c r="E285" s="233">
        <v>0</v>
      </c>
      <c r="F285" s="233">
        <v>0</v>
      </c>
      <c r="G285" s="233">
        <v>0</v>
      </c>
      <c r="H285" s="233">
        <v>0</v>
      </c>
      <c r="I285" s="233">
        <v>0</v>
      </c>
      <c r="J285" s="232">
        <v>1</v>
      </c>
      <c r="K285" s="232"/>
      <c r="L285" s="233" t="s">
        <v>9</v>
      </c>
      <c r="M285" s="233"/>
      <c r="N285" s="233"/>
      <c r="O285" s="233"/>
      <c r="P285" s="233"/>
      <c r="Q285" s="355"/>
      <c r="R285" s="357" t="s">
        <v>1636</v>
      </c>
      <c r="S285" s="356"/>
      <c r="T285" s="233"/>
      <c r="U285" s="233" t="s">
        <v>40</v>
      </c>
      <c r="V285" s="233"/>
      <c r="W285" s="232" t="s">
        <v>75</v>
      </c>
      <c r="X285" s="232">
        <f t="shared" si="4"/>
        <v>10</v>
      </c>
    </row>
    <row r="286" spans="1:24" ht="75">
      <c r="A286" s="240" t="s">
        <v>1100</v>
      </c>
      <c r="B286" s="237" t="s">
        <v>1192</v>
      </c>
      <c r="C286" s="233">
        <v>0</v>
      </c>
      <c r="D286" s="233">
        <v>0</v>
      </c>
      <c r="E286" s="233">
        <v>0</v>
      </c>
      <c r="F286" s="233">
        <v>0</v>
      </c>
      <c r="G286" s="233">
        <v>0</v>
      </c>
      <c r="H286" s="233">
        <v>0</v>
      </c>
      <c r="I286" s="233">
        <v>0</v>
      </c>
      <c r="J286" s="232">
        <v>1</v>
      </c>
      <c r="K286" s="232"/>
      <c r="L286" s="233" t="s">
        <v>9</v>
      </c>
      <c r="M286" s="233"/>
      <c r="N286" s="233"/>
      <c r="O286" s="233"/>
      <c r="P286" s="233"/>
      <c r="Q286" s="355"/>
      <c r="R286" s="357" t="s">
        <v>1637</v>
      </c>
      <c r="S286" s="356"/>
      <c r="T286" s="233"/>
      <c r="U286" s="233" t="s">
        <v>40</v>
      </c>
      <c r="V286" s="233"/>
      <c r="W286" s="232" t="s">
        <v>75</v>
      </c>
      <c r="X286" s="232">
        <f t="shared" si="4"/>
        <v>10</v>
      </c>
    </row>
    <row r="287" spans="1:24" ht="75">
      <c r="A287" s="240" t="s">
        <v>1101</v>
      </c>
      <c r="B287" s="237" t="s">
        <v>1560</v>
      </c>
      <c r="C287" s="233">
        <v>0</v>
      </c>
      <c r="D287" s="233">
        <v>0</v>
      </c>
      <c r="E287" s="233">
        <v>0</v>
      </c>
      <c r="F287" s="233">
        <v>0</v>
      </c>
      <c r="G287" s="233">
        <v>0</v>
      </c>
      <c r="H287" s="233">
        <v>0</v>
      </c>
      <c r="I287" s="233">
        <v>0</v>
      </c>
      <c r="J287" s="232">
        <v>1</v>
      </c>
      <c r="K287" s="232"/>
      <c r="L287" s="233" t="s">
        <v>9</v>
      </c>
      <c r="M287" s="233"/>
      <c r="N287" s="233"/>
      <c r="O287" s="233"/>
      <c r="P287" s="233"/>
      <c r="Q287" s="355"/>
      <c r="R287" s="357" t="s">
        <v>1638</v>
      </c>
      <c r="S287" s="356"/>
      <c r="T287" s="233"/>
      <c r="U287" s="233" t="s">
        <v>40</v>
      </c>
      <c r="V287" s="233"/>
      <c r="W287" s="232" t="s">
        <v>75</v>
      </c>
      <c r="X287" s="232">
        <f t="shared" si="4"/>
        <v>10</v>
      </c>
    </row>
    <row r="288" spans="1:24" ht="75">
      <c r="A288" s="240" t="s">
        <v>1102</v>
      </c>
      <c r="B288" s="237" t="s">
        <v>803</v>
      </c>
      <c r="C288" s="233">
        <v>0</v>
      </c>
      <c r="D288" s="233">
        <v>0</v>
      </c>
      <c r="E288" s="233">
        <v>0</v>
      </c>
      <c r="F288" s="233">
        <v>0</v>
      </c>
      <c r="G288" s="233">
        <v>0</v>
      </c>
      <c r="H288" s="233">
        <v>0</v>
      </c>
      <c r="I288" s="233">
        <v>0</v>
      </c>
      <c r="J288" s="232">
        <v>1</v>
      </c>
      <c r="K288" s="232"/>
      <c r="L288" s="233" t="s">
        <v>9</v>
      </c>
      <c r="M288" s="233"/>
      <c r="N288" s="233"/>
      <c r="O288" s="233"/>
      <c r="P288" s="233"/>
      <c r="Q288" s="355"/>
      <c r="R288" s="357" t="s">
        <v>1639</v>
      </c>
      <c r="S288" s="356"/>
      <c r="T288" s="233"/>
      <c r="U288" s="233" t="s">
        <v>40</v>
      </c>
      <c r="V288" s="233"/>
      <c r="W288" s="232" t="s">
        <v>75</v>
      </c>
      <c r="X288" s="232">
        <f t="shared" si="4"/>
        <v>10</v>
      </c>
    </row>
    <row r="289" spans="1:24" ht="75">
      <c r="A289" s="240" t="s">
        <v>1103</v>
      </c>
      <c r="B289" s="237" t="s">
        <v>1562</v>
      </c>
      <c r="C289" s="233">
        <v>0</v>
      </c>
      <c r="D289" s="233">
        <v>0</v>
      </c>
      <c r="E289" s="233">
        <v>0</v>
      </c>
      <c r="F289" s="233">
        <v>0</v>
      </c>
      <c r="G289" s="233">
        <v>0</v>
      </c>
      <c r="H289" s="233">
        <v>0</v>
      </c>
      <c r="I289" s="233">
        <v>0</v>
      </c>
      <c r="J289" s="232">
        <v>1</v>
      </c>
      <c r="K289" s="232"/>
      <c r="L289" s="233" t="s">
        <v>9</v>
      </c>
      <c r="M289" s="233"/>
      <c r="N289" s="233"/>
      <c r="O289" s="233"/>
      <c r="P289" s="233"/>
      <c r="Q289" s="355"/>
      <c r="R289" s="357" t="s">
        <v>1640</v>
      </c>
      <c r="S289" s="356"/>
      <c r="T289" s="233"/>
      <c r="U289" s="233" t="s">
        <v>40</v>
      </c>
      <c r="V289" s="233"/>
      <c r="W289" s="232" t="s">
        <v>75</v>
      </c>
      <c r="X289" s="232">
        <f t="shared" si="4"/>
        <v>10</v>
      </c>
    </row>
    <row r="290" spans="1:24" ht="75">
      <c r="A290" s="240" t="s">
        <v>1104</v>
      </c>
      <c r="B290" s="237" t="s">
        <v>804</v>
      </c>
      <c r="C290" s="233">
        <v>0</v>
      </c>
      <c r="D290" s="233">
        <v>0</v>
      </c>
      <c r="E290" s="233">
        <v>0</v>
      </c>
      <c r="F290" s="233">
        <v>0</v>
      </c>
      <c r="G290" s="233">
        <v>0</v>
      </c>
      <c r="H290" s="233">
        <v>0</v>
      </c>
      <c r="I290" s="233">
        <v>0</v>
      </c>
      <c r="J290" s="232">
        <v>1</v>
      </c>
      <c r="K290" s="232"/>
      <c r="L290" s="233" t="s">
        <v>9</v>
      </c>
      <c r="M290" s="233"/>
      <c r="N290" s="233"/>
      <c r="O290" s="233"/>
      <c r="P290" s="233"/>
      <c r="Q290" s="355"/>
      <c r="R290" s="357" t="s">
        <v>1641</v>
      </c>
      <c r="S290" s="356"/>
      <c r="T290" s="233"/>
      <c r="U290" s="233" t="s">
        <v>40</v>
      </c>
      <c r="V290" s="233"/>
      <c r="W290" s="232" t="s">
        <v>75</v>
      </c>
      <c r="X290" s="232">
        <f t="shared" si="4"/>
        <v>10</v>
      </c>
    </row>
    <row r="291" spans="1:24" ht="75">
      <c r="A291" s="240" t="s">
        <v>1105</v>
      </c>
      <c r="B291" s="237" t="s">
        <v>805</v>
      </c>
      <c r="C291" s="233">
        <v>0</v>
      </c>
      <c r="D291" s="233">
        <v>0</v>
      </c>
      <c r="E291" s="233">
        <v>0</v>
      </c>
      <c r="F291" s="233">
        <v>0</v>
      </c>
      <c r="G291" s="233">
        <v>0</v>
      </c>
      <c r="H291" s="233">
        <v>0</v>
      </c>
      <c r="I291" s="233">
        <v>0</v>
      </c>
      <c r="J291" s="232">
        <v>1</v>
      </c>
      <c r="K291" s="232"/>
      <c r="L291" s="233" t="s">
        <v>9</v>
      </c>
      <c r="M291" s="233"/>
      <c r="N291" s="233"/>
      <c r="O291" s="233"/>
      <c r="P291" s="233"/>
      <c r="Q291" s="355"/>
      <c r="R291" s="357" t="s">
        <v>1642</v>
      </c>
      <c r="S291" s="356"/>
      <c r="T291" s="233"/>
      <c r="U291" s="233" t="s">
        <v>40</v>
      </c>
      <c r="V291" s="233"/>
      <c r="W291" s="232" t="s">
        <v>75</v>
      </c>
      <c r="X291" s="232">
        <f t="shared" si="4"/>
        <v>10</v>
      </c>
    </row>
    <row r="292" spans="1:24" ht="105">
      <c r="A292" s="240" t="s">
        <v>1106</v>
      </c>
      <c r="B292" s="237" t="s">
        <v>1561</v>
      </c>
      <c r="C292" s="233">
        <v>0</v>
      </c>
      <c r="D292" s="233">
        <v>0</v>
      </c>
      <c r="E292" s="233">
        <v>0</v>
      </c>
      <c r="F292" s="233">
        <v>0</v>
      </c>
      <c r="G292" s="233">
        <v>0</v>
      </c>
      <c r="H292" s="233">
        <v>0</v>
      </c>
      <c r="I292" s="233">
        <v>0</v>
      </c>
      <c r="J292" s="232">
        <v>1</v>
      </c>
      <c r="K292" s="232"/>
      <c r="L292" s="233" t="s">
        <v>9</v>
      </c>
      <c r="M292" s="233"/>
      <c r="N292" s="233"/>
      <c r="O292" s="233"/>
      <c r="P292" s="233"/>
      <c r="Q292" s="355"/>
      <c r="R292" s="357" t="s">
        <v>1643</v>
      </c>
      <c r="S292" s="356"/>
      <c r="T292" s="233"/>
      <c r="U292" s="233" t="s">
        <v>149</v>
      </c>
      <c r="V292" s="233"/>
      <c r="W292" s="232" t="s">
        <v>75</v>
      </c>
      <c r="X292" s="232">
        <f t="shared" si="4"/>
        <v>10</v>
      </c>
    </row>
    <row r="293" spans="1:24" ht="75">
      <c r="A293" s="240" t="s">
        <v>1107</v>
      </c>
      <c r="B293" s="237" t="s">
        <v>806</v>
      </c>
      <c r="C293" s="233">
        <v>0</v>
      </c>
      <c r="D293" s="233">
        <v>0</v>
      </c>
      <c r="E293" s="233">
        <v>0</v>
      </c>
      <c r="F293" s="233">
        <v>0</v>
      </c>
      <c r="G293" s="233">
        <v>0</v>
      </c>
      <c r="H293" s="233">
        <v>0</v>
      </c>
      <c r="I293" s="233">
        <v>0</v>
      </c>
      <c r="J293" s="232">
        <v>1</v>
      </c>
      <c r="K293" s="232"/>
      <c r="L293" s="233" t="s">
        <v>9</v>
      </c>
      <c r="M293" s="233"/>
      <c r="N293" s="233"/>
      <c r="O293" s="233"/>
      <c r="P293" s="233"/>
      <c r="Q293" s="355"/>
      <c r="R293" s="357" t="s">
        <v>1644</v>
      </c>
      <c r="S293" s="356"/>
      <c r="T293" s="233"/>
      <c r="U293" s="233" t="s">
        <v>40</v>
      </c>
      <c r="V293" s="233"/>
      <c r="W293" s="232" t="s">
        <v>75</v>
      </c>
      <c r="X293" s="232">
        <f t="shared" si="4"/>
        <v>10</v>
      </c>
    </row>
    <row r="294" spans="1:24" ht="30">
      <c r="A294" s="241" t="s">
        <v>1108</v>
      </c>
      <c r="B294" s="237" t="s">
        <v>807</v>
      </c>
      <c r="C294" s="233">
        <v>0</v>
      </c>
      <c r="D294" s="233">
        <v>0</v>
      </c>
      <c r="E294" s="233">
        <v>0</v>
      </c>
      <c r="F294" s="233">
        <v>0</v>
      </c>
      <c r="G294" s="233">
        <v>0</v>
      </c>
      <c r="H294" s="233">
        <v>0</v>
      </c>
      <c r="I294" s="233">
        <v>0</v>
      </c>
      <c r="J294" s="232">
        <v>1</v>
      </c>
      <c r="K294" s="232"/>
      <c r="L294" s="233" t="s">
        <v>9</v>
      </c>
      <c r="M294" s="233"/>
      <c r="N294" s="233"/>
      <c r="O294" s="233"/>
      <c r="P294" s="233"/>
      <c r="Q294" s="233"/>
      <c r="R294" s="242"/>
      <c r="S294" s="233"/>
      <c r="T294" s="233"/>
      <c r="U294" s="233" t="s">
        <v>40</v>
      </c>
      <c r="V294" s="233"/>
      <c r="W294" s="232" t="s">
        <v>75</v>
      </c>
      <c r="X294" s="232">
        <f t="shared" si="4"/>
        <v>10</v>
      </c>
    </row>
    <row r="295" spans="1:24" ht="60">
      <c r="A295" s="240" t="s">
        <v>1109</v>
      </c>
      <c r="B295" s="237" t="s">
        <v>1193</v>
      </c>
      <c r="C295" s="233">
        <v>0</v>
      </c>
      <c r="D295" s="233">
        <v>0</v>
      </c>
      <c r="E295" s="233">
        <v>0</v>
      </c>
      <c r="F295" s="233">
        <v>0</v>
      </c>
      <c r="G295" s="233">
        <v>0</v>
      </c>
      <c r="H295" s="233">
        <v>0</v>
      </c>
      <c r="I295" s="233">
        <v>0</v>
      </c>
      <c r="J295" s="232">
        <v>1</v>
      </c>
      <c r="K295" s="232"/>
      <c r="L295" s="233" t="s">
        <v>9</v>
      </c>
      <c r="M295" s="233"/>
      <c r="N295" s="233" t="s">
        <v>1449</v>
      </c>
      <c r="O295" s="233"/>
      <c r="P295" s="233"/>
      <c r="Q295" s="233"/>
      <c r="R295" s="233"/>
      <c r="S295" s="232" t="s">
        <v>1529</v>
      </c>
      <c r="T295" s="232" t="s">
        <v>1529</v>
      </c>
      <c r="U295" s="233" t="s">
        <v>149</v>
      </c>
      <c r="V295" s="233"/>
      <c r="W295" s="232" t="s">
        <v>75</v>
      </c>
      <c r="X295" s="232">
        <f t="shared" si="4"/>
        <v>10</v>
      </c>
    </row>
    <row r="296" spans="1:24" ht="60">
      <c r="A296" s="240" t="s">
        <v>1110</v>
      </c>
      <c r="B296" s="237" t="s">
        <v>1612</v>
      </c>
      <c r="C296" s="232">
        <v>0</v>
      </c>
      <c r="D296" s="232">
        <v>0</v>
      </c>
      <c r="E296" s="232">
        <v>0</v>
      </c>
      <c r="F296" s="232">
        <v>0</v>
      </c>
      <c r="G296" s="232">
        <v>0</v>
      </c>
      <c r="H296" s="232">
        <v>0</v>
      </c>
      <c r="I296" s="232">
        <v>0</v>
      </c>
      <c r="J296" s="232">
        <v>1</v>
      </c>
      <c r="K296" s="232"/>
      <c r="L296" s="232" t="s">
        <v>9</v>
      </c>
      <c r="M296" s="232" t="s">
        <v>1032</v>
      </c>
      <c r="N296" s="232" t="s">
        <v>1449</v>
      </c>
      <c r="O296" s="232" t="s">
        <v>1032</v>
      </c>
      <c r="P296" s="232" t="s">
        <v>1032</v>
      </c>
      <c r="Q296" s="232" t="s">
        <v>1032</v>
      </c>
      <c r="R296" s="232" t="s">
        <v>1615</v>
      </c>
      <c r="S296" s="232" t="s">
        <v>1032</v>
      </c>
      <c r="T296" s="232" t="s">
        <v>1032</v>
      </c>
      <c r="U296" s="232" t="s">
        <v>149</v>
      </c>
      <c r="V296" s="232" t="s">
        <v>1032</v>
      </c>
      <c r="W296" s="232" t="s">
        <v>46</v>
      </c>
      <c r="X296" s="232">
        <f t="shared" si="4"/>
        <v>20</v>
      </c>
    </row>
    <row r="297" spans="1:24" ht="60">
      <c r="A297" s="240" t="s">
        <v>808</v>
      </c>
      <c r="B297" s="237" t="s">
        <v>1194</v>
      </c>
      <c r="C297" s="232">
        <v>0</v>
      </c>
      <c r="D297" s="232">
        <v>0</v>
      </c>
      <c r="E297" s="232">
        <v>0</v>
      </c>
      <c r="F297" s="232">
        <v>0</v>
      </c>
      <c r="G297" s="232">
        <v>0</v>
      </c>
      <c r="H297" s="232">
        <v>0</v>
      </c>
      <c r="I297" s="232">
        <v>0</v>
      </c>
      <c r="J297" s="232">
        <v>1</v>
      </c>
      <c r="K297" s="232"/>
      <c r="L297" s="232" t="s">
        <v>9</v>
      </c>
      <c r="M297" s="232" t="s">
        <v>1032</v>
      </c>
      <c r="N297" s="232" t="s">
        <v>1449</v>
      </c>
      <c r="O297" s="232" t="s">
        <v>1032</v>
      </c>
      <c r="P297" s="232" t="s">
        <v>1032</v>
      </c>
      <c r="Q297" s="232" t="s">
        <v>1032</v>
      </c>
      <c r="R297" s="232" t="s">
        <v>1615</v>
      </c>
      <c r="S297" s="232" t="s">
        <v>1032</v>
      </c>
      <c r="T297" s="232" t="s">
        <v>1032</v>
      </c>
      <c r="U297" s="232" t="s">
        <v>40</v>
      </c>
      <c r="V297" s="232" t="s">
        <v>1032</v>
      </c>
      <c r="W297" s="232" t="s">
        <v>46</v>
      </c>
      <c r="X297" s="232">
        <f t="shared" si="4"/>
        <v>20</v>
      </c>
    </row>
    <row r="298" spans="1:24" ht="60">
      <c r="A298" s="240" t="s">
        <v>810</v>
      </c>
      <c r="B298" s="237" t="s">
        <v>1195</v>
      </c>
      <c r="C298" s="232">
        <v>0</v>
      </c>
      <c r="D298" s="232">
        <v>0</v>
      </c>
      <c r="E298" s="232">
        <v>0</v>
      </c>
      <c r="F298" s="232">
        <v>0</v>
      </c>
      <c r="G298" s="232">
        <v>0</v>
      </c>
      <c r="H298" s="232">
        <v>0</v>
      </c>
      <c r="I298" s="232">
        <v>0</v>
      </c>
      <c r="J298" s="232">
        <v>1</v>
      </c>
      <c r="K298" s="232"/>
      <c r="L298" s="232" t="s">
        <v>9</v>
      </c>
      <c r="M298" s="232" t="s">
        <v>1032</v>
      </c>
      <c r="N298" s="232" t="s">
        <v>1449</v>
      </c>
      <c r="O298" s="232" t="s">
        <v>1032</v>
      </c>
      <c r="P298" s="232" t="s">
        <v>1032</v>
      </c>
      <c r="Q298" s="232" t="s">
        <v>1032</v>
      </c>
      <c r="R298" s="232"/>
      <c r="S298" s="232" t="s">
        <v>1032</v>
      </c>
      <c r="T298" s="232" t="s">
        <v>1032</v>
      </c>
      <c r="U298" s="232" t="s">
        <v>149</v>
      </c>
      <c r="V298" s="232" t="s">
        <v>1032</v>
      </c>
      <c r="W298" s="232" t="s">
        <v>75</v>
      </c>
      <c r="X298" s="232">
        <f t="shared" si="4"/>
        <v>10</v>
      </c>
    </row>
    <row r="299" spans="1:24" ht="60">
      <c r="A299" s="240" t="s">
        <v>811</v>
      </c>
      <c r="B299" s="237" t="s">
        <v>809</v>
      </c>
      <c r="C299" s="232">
        <v>0</v>
      </c>
      <c r="D299" s="232">
        <v>0</v>
      </c>
      <c r="E299" s="232">
        <v>0</v>
      </c>
      <c r="F299" s="232">
        <v>0</v>
      </c>
      <c r="G299" s="232">
        <v>0</v>
      </c>
      <c r="H299" s="232">
        <v>0</v>
      </c>
      <c r="I299" s="232">
        <v>0</v>
      </c>
      <c r="J299" s="232">
        <v>1</v>
      </c>
      <c r="K299" s="232"/>
      <c r="L299" s="232" t="s">
        <v>9</v>
      </c>
      <c r="M299" s="232" t="s">
        <v>1032</v>
      </c>
      <c r="N299" s="232" t="s">
        <v>1449</v>
      </c>
      <c r="O299" s="232" t="s">
        <v>1032</v>
      </c>
      <c r="P299" s="232" t="s">
        <v>1032</v>
      </c>
      <c r="Q299" s="232" t="s">
        <v>1032</v>
      </c>
      <c r="R299" s="232" t="s">
        <v>1615</v>
      </c>
      <c r="S299" s="232" t="s">
        <v>1032</v>
      </c>
      <c r="T299" s="232" t="s">
        <v>1032</v>
      </c>
      <c r="U299" s="232" t="s">
        <v>40</v>
      </c>
      <c r="V299" s="232" t="s">
        <v>1032</v>
      </c>
      <c r="W299" s="232" t="s">
        <v>41</v>
      </c>
      <c r="X299" s="232">
        <f t="shared" si="4"/>
        <v>5</v>
      </c>
    </row>
    <row r="300" spans="1:24" ht="60">
      <c r="A300" s="240" t="s">
        <v>813</v>
      </c>
      <c r="B300" s="237" t="s">
        <v>812</v>
      </c>
      <c r="C300" s="232">
        <v>0</v>
      </c>
      <c r="D300" s="232">
        <v>0</v>
      </c>
      <c r="E300" s="232">
        <v>0</v>
      </c>
      <c r="F300" s="232">
        <v>0</v>
      </c>
      <c r="G300" s="232">
        <v>0</v>
      </c>
      <c r="H300" s="232">
        <v>0</v>
      </c>
      <c r="I300" s="232">
        <v>0</v>
      </c>
      <c r="J300" s="232">
        <v>1</v>
      </c>
      <c r="K300" s="232"/>
      <c r="L300" s="232" t="s">
        <v>9</v>
      </c>
      <c r="M300" s="232" t="s">
        <v>1032</v>
      </c>
      <c r="N300" s="232" t="s">
        <v>1449</v>
      </c>
      <c r="O300" s="232" t="s">
        <v>1032</v>
      </c>
      <c r="P300" s="232" t="s">
        <v>1032</v>
      </c>
      <c r="Q300" s="232" t="s">
        <v>1032</v>
      </c>
      <c r="R300" s="232"/>
      <c r="S300" s="232" t="s">
        <v>1032</v>
      </c>
      <c r="T300" s="232" t="s">
        <v>1032</v>
      </c>
      <c r="U300" s="232" t="s">
        <v>149</v>
      </c>
      <c r="V300" s="232" t="s">
        <v>1032</v>
      </c>
      <c r="W300" s="232" t="s">
        <v>41</v>
      </c>
      <c r="X300" s="232">
        <f t="shared" si="4"/>
        <v>5</v>
      </c>
    </row>
    <row r="301" spans="1:24" ht="60">
      <c r="A301" s="240" t="s">
        <v>814</v>
      </c>
      <c r="B301" s="237" t="s">
        <v>1196</v>
      </c>
      <c r="C301" s="232">
        <v>0</v>
      </c>
      <c r="D301" s="232">
        <v>0</v>
      </c>
      <c r="E301" s="232">
        <v>0</v>
      </c>
      <c r="F301" s="232">
        <v>0</v>
      </c>
      <c r="G301" s="232">
        <v>0</v>
      </c>
      <c r="H301" s="232">
        <v>0</v>
      </c>
      <c r="I301" s="232">
        <v>0</v>
      </c>
      <c r="J301" s="232">
        <v>1</v>
      </c>
      <c r="K301" s="232"/>
      <c r="L301" s="232" t="s">
        <v>9</v>
      </c>
      <c r="M301" s="232" t="s">
        <v>1032</v>
      </c>
      <c r="N301" s="232" t="s">
        <v>1449</v>
      </c>
      <c r="O301" s="232" t="s">
        <v>1032</v>
      </c>
      <c r="P301" s="232" t="s">
        <v>1032</v>
      </c>
      <c r="Q301" s="232" t="s">
        <v>1032</v>
      </c>
      <c r="R301" s="232"/>
      <c r="S301" s="232" t="s">
        <v>1032</v>
      </c>
      <c r="T301" s="232" t="s">
        <v>1032</v>
      </c>
      <c r="U301" s="232" t="s">
        <v>40</v>
      </c>
      <c r="V301" s="232" t="s">
        <v>1032</v>
      </c>
      <c r="W301" s="232" t="s">
        <v>41</v>
      </c>
      <c r="X301" s="232">
        <f t="shared" si="4"/>
        <v>5</v>
      </c>
    </row>
    <row r="302" spans="1:24" ht="60">
      <c r="A302" s="240" t="s">
        <v>815</v>
      </c>
      <c r="B302" s="237" t="s">
        <v>816</v>
      </c>
      <c r="C302" s="232">
        <v>0</v>
      </c>
      <c r="D302" s="232">
        <v>0</v>
      </c>
      <c r="E302" s="232">
        <v>0</v>
      </c>
      <c r="F302" s="232">
        <v>0</v>
      </c>
      <c r="G302" s="232">
        <v>0</v>
      </c>
      <c r="H302" s="232">
        <v>0</v>
      </c>
      <c r="I302" s="232">
        <v>0</v>
      </c>
      <c r="J302" s="232">
        <v>1</v>
      </c>
      <c r="K302" s="232"/>
      <c r="L302" s="232" t="s">
        <v>9</v>
      </c>
      <c r="M302" s="232" t="s">
        <v>1032</v>
      </c>
      <c r="N302" s="232" t="s">
        <v>1449</v>
      </c>
      <c r="O302" s="232" t="s">
        <v>1032</v>
      </c>
      <c r="P302" s="232" t="s">
        <v>1032</v>
      </c>
      <c r="Q302" s="232" t="s">
        <v>1032</v>
      </c>
      <c r="R302" s="232" t="s">
        <v>1615</v>
      </c>
      <c r="S302" s="232" t="s">
        <v>1032</v>
      </c>
      <c r="T302" s="232" t="s">
        <v>1032</v>
      </c>
      <c r="U302" s="232" t="s">
        <v>40</v>
      </c>
      <c r="V302" s="232" t="s">
        <v>1032</v>
      </c>
      <c r="W302" s="232" t="s">
        <v>41</v>
      </c>
      <c r="X302" s="232">
        <f t="shared" si="4"/>
        <v>5</v>
      </c>
    </row>
    <row r="303" spans="1:24" ht="60">
      <c r="A303" s="242" t="s">
        <v>817</v>
      </c>
      <c r="B303" s="232" t="s">
        <v>1262</v>
      </c>
      <c r="C303" s="232">
        <v>0</v>
      </c>
      <c r="D303" s="232">
        <v>0</v>
      </c>
      <c r="E303" s="232">
        <v>0</v>
      </c>
      <c r="F303" s="232">
        <v>0</v>
      </c>
      <c r="G303" s="232">
        <v>0</v>
      </c>
      <c r="H303" s="232">
        <v>0</v>
      </c>
      <c r="I303" s="232">
        <v>1</v>
      </c>
      <c r="J303" s="232">
        <v>0</v>
      </c>
      <c r="K303" s="232" t="s">
        <v>22</v>
      </c>
      <c r="L303" s="232" t="s">
        <v>1062</v>
      </c>
      <c r="M303" s="232" t="s">
        <v>1032</v>
      </c>
      <c r="N303" s="232" t="s">
        <v>1449</v>
      </c>
      <c r="O303" s="232" t="s">
        <v>818</v>
      </c>
      <c r="P303" s="232" t="s">
        <v>1032</v>
      </c>
      <c r="Q303" s="232" t="s">
        <v>1032</v>
      </c>
      <c r="R303" s="232"/>
      <c r="S303" s="232" t="s">
        <v>1529</v>
      </c>
      <c r="T303" s="232" t="s">
        <v>1529</v>
      </c>
      <c r="U303" s="232" t="s">
        <v>1062</v>
      </c>
      <c r="V303" s="232" t="s">
        <v>1032</v>
      </c>
      <c r="W303" s="232" t="s">
        <v>1032</v>
      </c>
      <c r="X303" s="232">
        <f t="shared" si="4"/>
        <v>10</v>
      </c>
    </row>
    <row r="304" spans="1:24" ht="60">
      <c r="A304" s="233" t="s">
        <v>819</v>
      </c>
      <c r="B304" s="232" t="s">
        <v>1263</v>
      </c>
      <c r="C304" s="232">
        <v>0</v>
      </c>
      <c r="D304" s="232">
        <v>0</v>
      </c>
      <c r="E304" s="232">
        <v>0</v>
      </c>
      <c r="F304" s="232">
        <v>0</v>
      </c>
      <c r="G304" s="232">
        <v>0</v>
      </c>
      <c r="H304" s="232">
        <v>0</v>
      </c>
      <c r="I304" s="232">
        <v>1</v>
      </c>
      <c r="J304" s="232">
        <v>0</v>
      </c>
      <c r="K304" s="232" t="s">
        <v>22</v>
      </c>
      <c r="L304" s="232" t="s">
        <v>1062</v>
      </c>
      <c r="M304" s="232" t="s">
        <v>1032</v>
      </c>
      <c r="N304" s="232" t="s">
        <v>1449</v>
      </c>
      <c r="O304" s="232" t="s">
        <v>820</v>
      </c>
      <c r="P304" s="232" t="s">
        <v>1032</v>
      </c>
      <c r="Q304" s="232" t="s">
        <v>1032</v>
      </c>
      <c r="R304" s="232"/>
      <c r="S304" s="232" t="s">
        <v>1032</v>
      </c>
      <c r="T304" s="232" t="s">
        <v>1032</v>
      </c>
      <c r="U304" s="232" t="s">
        <v>1062</v>
      </c>
      <c r="V304" s="232" t="s">
        <v>1032</v>
      </c>
      <c r="W304" s="232" t="s">
        <v>1032</v>
      </c>
      <c r="X304" s="232">
        <f t="shared" si="4"/>
        <v>10</v>
      </c>
    </row>
    <row r="305" spans="1:24" ht="60">
      <c r="A305" s="233" t="s">
        <v>821</v>
      </c>
      <c r="B305" s="232" t="s">
        <v>1515</v>
      </c>
      <c r="C305" s="232">
        <v>0</v>
      </c>
      <c r="D305" s="232">
        <v>0</v>
      </c>
      <c r="E305" s="232">
        <v>0</v>
      </c>
      <c r="F305" s="232">
        <v>0</v>
      </c>
      <c r="G305" s="232">
        <v>0</v>
      </c>
      <c r="H305" s="232">
        <v>0</v>
      </c>
      <c r="I305" s="232">
        <v>1</v>
      </c>
      <c r="J305" s="232">
        <v>0</v>
      </c>
      <c r="K305" s="232"/>
      <c r="L305" s="232" t="s">
        <v>8</v>
      </c>
      <c r="M305" s="232" t="s">
        <v>1032</v>
      </c>
      <c r="N305" s="232" t="s">
        <v>1449</v>
      </c>
      <c r="O305" s="232" t="s">
        <v>824</v>
      </c>
      <c r="P305" s="232" t="s">
        <v>1032</v>
      </c>
      <c r="Q305" s="232" t="s">
        <v>1032</v>
      </c>
      <c r="R305" s="232"/>
      <c r="S305" s="232" t="s">
        <v>1529</v>
      </c>
      <c r="T305" s="232" t="s">
        <v>1529</v>
      </c>
      <c r="U305" s="232" t="s">
        <v>40</v>
      </c>
      <c r="V305" s="232" t="s">
        <v>1032</v>
      </c>
      <c r="W305" s="232" t="s">
        <v>46</v>
      </c>
      <c r="X305" s="232">
        <f t="shared" si="4"/>
        <v>20</v>
      </c>
    </row>
    <row r="306" spans="1:24" ht="60">
      <c r="A306" s="233" t="s">
        <v>823</v>
      </c>
      <c r="B306" s="232" t="s">
        <v>1264</v>
      </c>
      <c r="C306" s="232">
        <v>0</v>
      </c>
      <c r="D306" s="232">
        <v>0</v>
      </c>
      <c r="E306" s="232">
        <v>0</v>
      </c>
      <c r="F306" s="232">
        <v>0</v>
      </c>
      <c r="G306" s="232">
        <v>0</v>
      </c>
      <c r="H306" s="232">
        <v>0</v>
      </c>
      <c r="I306" s="232">
        <v>1</v>
      </c>
      <c r="J306" s="232">
        <v>0</v>
      </c>
      <c r="K306" s="232"/>
      <c r="L306" s="232" t="s">
        <v>8</v>
      </c>
      <c r="M306" s="232" t="s">
        <v>1032</v>
      </c>
      <c r="N306" s="232" t="s">
        <v>1449</v>
      </c>
      <c r="O306" s="232" t="s">
        <v>1197</v>
      </c>
      <c r="P306" s="232" t="s">
        <v>1032</v>
      </c>
      <c r="Q306" s="232" t="s">
        <v>1032</v>
      </c>
      <c r="R306" s="232"/>
      <c r="S306" s="232" t="s">
        <v>1032</v>
      </c>
      <c r="T306" s="232" t="s">
        <v>1032</v>
      </c>
      <c r="U306" s="232" t="s">
        <v>40</v>
      </c>
      <c r="V306" s="232" t="s">
        <v>1032</v>
      </c>
      <c r="W306" s="232" t="s">
        <v>46</v>
      </c>
      <c r="X306" s="232">
        <f t="shared" si="4"/>
        <v>20</v>
      </c>
    </row>
    <row r="307" spans="1:24" ht="60">
      <c r="A307" s="233" t="s">
        <v>825</v>
      </c>
      <c r="B307" s="232" t="s">
        <v>1081</v>
      </c>
      <c r="C307" s="232">
        <v>0</v>
      </c>
      <c r="D307" s="232">
        <v>0</v>
      </c>
      <c r="E307" s="232">
        <v>0</v>
      </c>
      <c r="F307" s="232">
        <v>0</v>
      </c>
      <c r="G307" s="232">
        <v>0</v>
      </c>
      <c r="H307" s="232">
        <v>0</v>
      </c>
      <c r="I307" s="232">
        <v>1</v>
      </c>
      <c r="J307" s="232">
        <v>0</v>
      </c>
      <c r="K307" s="232"/>
      <c r="L307" s="232" t="s">
        <v>8</v>
      </c>
      <c r="M307" s="232" t="s">
        <v>1032</v>
      </c>
      <c r="N307" s="232" t="s">
        <v>1449</v>
      </c>
      <c r="O307" s="232" t="s">
        <v>829</v>
      </c>
      <c r="P307" s="232" t="s">
        <v>1032</v>
      </c>
      <c r="Q307" s="232" t="s">
        <v>1032</v>
      </c>
      <c r="R307" s="232"/>
      <c r="S307" s="232" t="s">
        <v>1032</v>
      </c>
      <c r="T307" s="232" t="s">
        <v>1032</v>
      </c>
      <c r="U307" s="232" t="s">
        <v>40</v>
      </c>
      <c r="V307" s="232" t="s">
        <v>1032</v>
      </c>
      <c r="W307" s="232" t="s">
        <v>46</v>
      </c>
      <c r="X307" s="232">
        <f t="shared" si="4"/>
        <v>20</v>
      </c>
    </row>
    <row r="308" spans="1:24" ht="60">
      <c r="A308" s="233" t="s">
        <v>826</v>
      </c>
      <c r="B308" s="232" t="s">
        <v>1265</v>
      </c>
      <c r="C308" s="232">
        <v>0</v>
      </c>
      <c r="D308" s="232">
        <v>0</v>
      </c>
      <c r="E308" s="232">
        <v>0</v>
      </c>
      <c r="F308" s="232">
        <v>0</v>
      </c>
      <c r="G308" s="232">
        <v>0</v>
      </c>
      <c r="H308" s="232">
        <v>0</v>
      </c>
      <c r="I308" s="232">
        <v>1</v>
      </c>
      <c r="J308" s="232">
        <v>0</v>
      </c>
      <c r="K308" s="232"/>
      <c r="L308" s="232" t="s">
        <v>1062</v>
      </c>
      <c r="M308" s="232" t="s">
        <v>1032</v>
      </c>
      <c r="N308" s="232" t="s">
        <v>1449</v>
      </c>
      <c r="O308" s="232" t="s">
        <v>822</v>
      </c>
      <c r="P308" s="232" t="s">
        <v>1032</v>
      </c>
      <c r="Q308" s="232" t="s">
        <v>1032</v>
      </c>
      <c r="R308" s="232"/>
      <c r="S308" s="232" t="s">
        <v>1032</v>
      </c>
      <c r="T308" s="232" t="s">
        <v>1032</v>
      </c>
      <c r="U308" s="232" t="s">
        <v>1062</v>
      </c>
      <c r="V308" s="232" t="s">
        <v>1032</v>
      </c>
      <c r="W308" s="232" t="s">
        <v>75</v>
      </c>
      <c r="X308" s="232">
        <f t="shared" si="4"/>
        <v>10</v>
      </c>
    </row>
    <row r="309" spans="1:24" ht="75">
      <c r="A309" s="233" t="s">
        <v>828</v>
      </c>
      <c r="B309" s="232" t="s">
        <v>1266</v>
      </c>
      <c r="C309" s="232">
        <v>0</v>
      </c>
      <c r="D309" s="232">
        <v>0</v>
      </c>
      <c r="E309" s="232">
        <v>0</v>
      </c>
      <c r="F309" s="232">
        <v>0</v>
      </c>
      <c r="G309" s="232">
        <v>0</v>
      </c>
      <c r="H309" s="232">
        <v>0</v>
      </c>
      <c r="I309" s="232">
        <v>1</v>
      </c>
      <c r="J309" s="232">
        <v>0</v>
      </c>
      <c r="K309" s="232"/>
      <c r="L309" s="232" t="s">
        <v>8</v>
      </c>
      <c r="M309" s="232" t="s">
        <v>1032</v>
      </c>
      <c r="N309" s="232" t="s">
        <v>1449</v>
      </c>
      <c r="O309" s="232" t="s">
        <v>827</v>
      </c>
      <c r="P309" s="232" t="s">
        <v>1032</v>
      </c>
      <c r="Q309" s="232" t="s">
        <v>1032</v>
      </c>
      <c r="R309" s="232"/>
      <c r="S309" s="232" t="s">
        <v>1032</v>
      </c>
      <c r="T309" s="232" t="s">
        <v>1032</v>
      </c>
      <c r="U309" s="232" t="s">
        <v>40</v>
      </c>
      <c r="V309" s="232" t="s">
        <v>1032</v>
      </c>
      <c r="W309" s="232" t="s">
        <v>75</v>
      </c>
      <c r="X309" s="232">
        <f t="shared" si="4"/>
        <v>10</v>
      </c>
    </row>
    <row r="310" spans="1:24" ht="75">
      <c r="A310" s="233" t="s">
        <v>830</v>
      </c>
      <c r="B310" s="232" t="s">
        <v>1082</v>
      </c>
      <c r="C310" s="232">
        <v>0</v>
      </c>
      <c r="D310" s="232">
        <v>0</v>
      </c>
      <c r="E310" s="232">
        <v>0</v>
      </c>
      <c r="F310" s="232">
        <v>0</v>
      </c>
      <c r="G310" s="232">
        <v>0</v>
      </c>
      <c r="H310" s="232">
        <v>0</v>
      </c>
      <c r="I310" s="232">
        <v>1</v>
      </c>
      <c r="J310" s="232">
        <v>0</v>
      </c>
      <c r="K310" s="232"/>
      <c r="L310" s="232" t="s">
        <v>8</v>
      </c>
      <c r="M310" s="232" t="s">
        <v>1032</v>
      </c>
      <c r="N310" s="232" t="s">
        <v>1449</v>
      </c>
      <c r="O310" s="232" t="s">
        <v>1198</v>
      </c>
      <c r="P310" s="232" t="s">
        <v>1032</v>
      </c>
      <c r="Q310" s="232" t="s">
        <v>1032</v>
      </c>
      <c r="R310" s="232"/>
      <c r="S310" s="232" t="s">
        <v>1529</v>
      </c>
      <c r="T310" s="232" t="s">
        <v>1529</v>
      </c>
      <c r="U310" s="232" t="s">
        <v>40</v>
      </c>
      <c r="V310" s="232" t="s">
        <v>1032</v>
      </c>
      <c r="W310" s="232" t="s">
        <v>46</v>
      </c>
      <c r="X310" s="232">
        <f t="shared" si="4"/>
        <v>20</v>
      </c>
    </row>
    <row r="311" spans="1:24" ht="60">
      <c r="A311" s="233" t="s">
        <v>831</v>
      </c>
      <c r="B311" s="232" t="s">
        <v>1083</v>
      </c>
      <c r="C311" s="232">
        <v>0</v>
      </c>
      <c r="D311" s="232">
        <v>0</v>
      </c>
      <c r="E311" s="232">
        <v>0</v>
      </c>
      <c r="F311" s="232">
        <v>0</v>
      </c>
      <c r="G311" s="232">
        <v>0</v>
      </c>
      <c r="H311" s="232">
        <v>0</v>
      </c>
      <c r="I311" s="232">
        <v>1</v>
      </c>
      <c r="J311" s="232">
        <v>0</v>
      </c>
      <c r="K311" s="232"/>
      <c r="L311" s="232" t="s">
        <v>8</v>
      </c>
      <c r="M311" s="232" t="s">
        <v>1032</v>
      </c>
      <c r="N311" s="232" t="s">
        <v>1449</v>
      </c>
      <c r="O311" s="232" t="s">
        <v>1199</v>
      </c>
      <c r="P311" s="232" t="s">
        <v>1032</v>
      </c>
      <c r="Q311" s="232" t="s">
        <v>1032</v>
      </c>
      <c r="R311" s="232"/>
      <c r="S311" s="232" t="s">
        <v>1032</v>
      </c>
      <c r="T311" s="232" t="s">
        <v>1032</v>
      </c>
      <c r="U311" s="232" t="s">
        <v>40</v>
      </c>
      <c r="V311" s="232" t="s">
        <v>1032</v>
      </c>
      <c r="W311" s="232" t="s">
        <v>46</v>
      </c>
      <c r="X311" s="232">
        <f t="shared" si="4"/>
        <v>20</v>
      </c>
    </row>
    <row r="312" spans="1:24" ht="120">
      <c r="A312" s="233" t="s">
        <v>832</v>
      </c>
      <c r="B312" s="232" t="s">
        <v>1516</v>
      </c>
      <c r="C312" s="232">
        <v>0</v>
      </c>
      <c r="D312" s="232">
        <v>0</v>
      </c>
      <c r="E312" s="232">
        <v>0</v>
      </c>
      <c r="F312" s="232">
        <v>0</v>
      </c>
      <c r="G312" s="232">
        <v>0</v>
      </c>
      <c r="H312" s="232">
        <v>0</v>
      </c>
      <c r="I312" s="232">
        <v>1</v>
      </c>
      <c r="J312" s="232">
        <v>0</v>
      </c>
      <c r="K312" s="232"/>
      <c r="L312" s="232" t="s">
        <v>8</v>
      </c>
      <c r="M312" s="232" t="s">
        <v>1032</v>
      </c>
      <c r="N312" s="232" t="s">
        <v>1449</v>
      </c>
      <c r="O312" s="232" t="s">
        <v>1267</v>
      </c>
      <c r="P312" s="232" t="s">
        <v>1032</v>
      </c>
      <c r="Q312" s="232" t="s">
        <v>1032</v>
      </c>
      <c r="R312" s="232"/>
      <c r="S312" s="232" t="s">
        <v>1032</v>
      </c>
      <c r="T312" s="232" t="s">
        <v>1032</v>
      </c>
      <c r="U312" s="232" t="s">
        <v>40</v>
      </c>
      <c r="V312" s="232" t="s">
        <v>1032</v>
      </c>
      <c r="W312" s="232" t="s">
        <v>46</v>
      </c>
      <c r="X312" s="232">
        <f t="shared" si="4"/>
        <v>20</v>
      </c>
    </row>
    <row r="313" spans="1:24" ht="120">
      <c r="A313" s="233" t="s">
        <v>833</v>
      </c>
      <c r="B313" s="232" t="s">
        <v>1517</v>
      </c>
      <c r="C313" s="232">
        <v>0</v>
      </c>
      <c r="D313" s="232">
        <v>0</v>
      </c>
      <c r="E313" s="232">
        <v>0</v>
      </c>
      <c r="F313" s="232">
        <v>0</v>
      </c>
      <c r="G313" s="232">
        <v>0</v>
      </c>
      <c r="H313" s="232">
        <v>0</v>
      </c>
      <c r="I313" s="232">
        <v>1</v>
      </c>
      <c r="J313" s="232">
        <v>0</v>
      </c>
      <c r="K313" s="232"/>
      <c r="L313" s="232" t="s">
        <v>8</v>
      </c>
      <c r="M313" s="232" t="s">
        <v>1032</v>
      </c>
      <c r="N313" s="232" t="s">
        <v>1449</v>
      </c>
      <c r="O313" s="232" t="s">
        <v>1268</v>
      </c>
      <c r="P313" s="232" t="s">
        <v>1032</v>
      </c>
      <c r="Q313" s="232" t="s">
        <v>1032</v>
      </c>
      <c r="R313" s="232" t="s">
        <v>1615</v>
      </c>
      <c r="S313" s="232" t="s">
        <v>1032</v>
      </c>
      <c r="T313" s="232" t="s">
        <v>1032</v>
      </c>
      <c r="U313" s="232" t="s">
        <v>40</v>
      </c>
      <c r="V313" s="232" t="s">
        <v>1032</v>
      </c>
      <c r="W313" s="232" t="s">
        <v>46</v>
      </c>
      <c r="X313" s="232">
        <f t="shared" si="4"/>
        <v>20</v>
      </c>
    </row>
    <row r="314" spans="1:24" ht="60">
      <c r="A314" s="233" t="s">
        <v>834</v>
      </c>
      <c r="B314" s="232" t="s">
        <v>1518</v>
      </c>
      <c r="C314" s="232">
        <v>0</v>
      </c>
      <c r="D314" s="232">
        <v>0</v>
      </c>
      <c r="E314" s="232">
        <v>0</v>
      </c>
      <c r="F314" s="232">
        <v>0</v>
      </c>
      <c r="G314" s="232">
        <v>0</v>
      </c>
      <c r="H314" s="232">
        <v>0</v>
      </c>
      <c r="I314" s="232">
        <v>1</v>
      </c>
      <c r="J314" s="232">
        <v>0</v>
      </c>
      <c r="K314" s="232"/>
      <c r="L314" s="232" t="s">
        <v>8</v>
      </c>
      <c r="M314" s="232" t="s">
        <v>1032</v>
      </c>
      <c r="N314" s="232" t="s">
        <v>1449</v>
      </c>
      <c r="O314" s="232" t="s">
        <v>1200</v>
      </c>
      <c r="P314" s="232" t="s">
        <v>1032</v>
      </c>
      <c r="Q314" s="232" t="s">
        <v>1032</v>
      </c>
      <c r="R314" s="232"/>
      <c r="S314" s="232" t="s">
        <v>1032</v>
      </c>
      <c r="T314" s="232" t="s">
        <v>1032</v>
      </c>
      <c r="U314" s="232" t="s">
        <v>40</v>
      </c>
      <c r="V314" s="232" t="s">
        <v>1032</v>
      </c>
      <c r="W314" s="232" t="s">
        <v>41</v>
      </c>
      <c r="X314" s="232">
        <f t="shared" si="4"/>
        <v>5</v>
      </c>
    </row>
    <row r="315" spans="1:24" ht="60">
      <c r="A315" s="233" t="s">
        <v>835</v>
      </c>
      <c r="B315" s="232" t="s">
        <v>1269</v>
      </c>
      <c r="C315" s="232">
        <v>0</v>
      </c>
      <c r="D315" s="232">
        <v>0</v>
      </c>
      <c r="E315" s="232">
        <v>0</v>
      </c>
      <c r="F315" s="232">
        <v>0</v>
      </c>
      <c r="G315" s="232">
        <v>0</v>
      </c>
      <c r="H315" s="232">
        <v>0</v>
      </c>
      <c r="I315" s="232">
        <v>1</v>
      </c>
      <c r="J315" s="232">
        <v>0</v>
      </c>
      <c r="K315" s="232"/>
      <c r="L315" s="232" t="s">
        <v>8</v>
      </c>
      <c r="M315" s="232" t="s">
        <v>1032</v>
      </c>
      <c r="N315" s="232" t="s">
        <v>1449</v>
      </c>
      <c r="O315" s="232" t="s">
        <v>1270</v>
      </c>
      <c r="P315" s="232" t="s">
        <v>1032</v>
      </c>
      <c r="Q315" s="232" t="s">
        <v>1032</v>
      </c>
      <c r="R315" s="232"/>
      <c r="S315" s="232" t="s">
        <v>1529</v>
      </c>
      <c r="T315" s="232" t="s">
        <v>1529</v>
      </c>
      <c r="U315" s="232" t="s">
        <v>40</v>
      </c>
      <c r="V315" s="232" t="s">
        <v>1032</v>
      </c>
      <c r="W315" s="232" t="s">
        <v>46</v>
      </c>
      <c r="X315" s="232">
        <f t="shared" si="4"/>
        <v>20</v>
      </c>
    </row>
    <row r="316" spans="1:24" ht="60">
      <c r="A316" s="233" t="s">
        <v>836</v>
      </c>
      <c r="B316" s="232" t="s">
        <v>1271</v>
      </c>
      <c r="C316" s="232">
        <v>0</v>
      </c>
      <c r="D316" s="232">
        <v>0</v>
      </c>
      <c r="E316" s="232">
        <v>0</v>
      </c>
      <c r="F316" s="232">
        <v>0</v>
      </c>
      <c r="G316" s="232">
        <v>0</v>
      </c>
      <c r="H316" s="232">
        <v>0</v>
      </c>
      <c r="I316" s="232">
        <v>1</v>
      </c>
      <c r="J316" s="232">
        <v>0</v>
      </c>
      <c r="K316" s="232"/>
      <c r="L316" s="232" t="s">
        <v>8</v>
      </c>
      <c r="M316" s="232" t="s">
        <v>1032</v>
      </c>
      <c r="N316" s="232" t="s">
        <v>1449</v>
      </c>
      <c r="O316" s="232" t="s">
        <v>1272</v>
      </c>
      <c r="P316" s="232" t="s">
        <v>1032</v>
      </c>
      <c r="Q316" s="232" t="s">
        <v>1032</v>
      </c>
      <c r="R316" s="232"/>
      <c r="S316" s="232" t="s">
        <v>1032</v>
      </c>
      <c r="T316" s="232" t="s">
        <v>1032</v>
      </c>
      <c r="U316" s="232" t="s">
        <v>149</v>
      </c>
      <c r="V316" s="232" t="s">
        <v>1032</v>
      </c>
      <c r="W316" s="232" t="s">
        <v>46</v>
      </c>
      <c r="X316" s="232">
        <f t="shared" si="4"/>
        <v>20</v>
      </c>
    </row>
    <row r="317" spans="1:24" ht="60">
      <c r="A317" s="233" t="s">
        <v>837</v>
      </c>
      <c r="B317" s="232" t="s">
        <v>1273</v>
      </c>
      <c r="C317" s="232">
        <v>0</v>
      </c>
      <c r="D317" s="232">
        <v>0</v>
      </c>
      <c r="E317" s="232">
        <v>0</v>
      </c>
      <c r="F317" s="232">
        <v>0</v>
      </c>
      <c r="G317" s="232">
        <v>0</v>
      </c>
      <c r="H317" s="232">
        <v>0</v>
      </c>
      <c r="I317" s="232">
        <v>1</v>
      </c>
      <c r="J317" s="232">
        <v>0</v>
      </c>
      <c r="K317" s="232"/>
      <c r="L317" s="232" t="s">
        <v>8</v>
      </c>
      <c r="M317" s="232" t="s">
        <v>1032</v>
      </c>
      <c r="N317" s="232" t="s">
        <v>1449</v>
      </c>
      <c r="O317" s="232" t="s">
        <v>841</v>
      </c>
      <c r="P317" s="232" t="s">
        <v>1032</v>
      </c>
      <c r="Q317" s="232" t="s">
        <v>1032</v>
      </c>
      <c r="R317" s="232"/>
      <c r="S317" s="232" t="s">
        <v>1032</v>
      </c>
      <c r="T317" s="232" t="s">
        <v>1032</v>
      </c>
      <c r="U317" s="232" t="s">
        <v>40</v>
      </c>
      <c r="V317" s="232" t="s">
        <v>1032</v>
      </c>
      <c r="W317" s="232" t="s">
        <v>46</v>
      </c>
      <c r="X317" s="232">
        <f t="shared" si="4"/>
        <v>20</v>
      </c>
    </row>
    <row r="318" spans="1:24" ht="60">
      <c r="A318" s="233" t="s">
        <v>839</v>
      </c>
      <c r="B318" s="232" t="s">
        <v>1201</v>
      </c>
      <c r="C318" s="232">
        <v>0</v>
      </c>
      <c r="D318" s="232">
        <v>0</v>
      </c>
      <c r="E318" s="232">
        <v>0</v>
      </c>
      <c r="F318" s="232">
        <v>0</v>
      </c>
      <c r="G318" s="232">
        <v>0</v>
      </c>
      <c r="H318" s="232">
        <v>0</v>
      </c>
      <c r="I318" s="232">
        <v>1</v>
      </c>
      <c r="J318" s="232">
        <v>0</v>
      </c>
      <c r="K318" s="232"/>
      <c r="L318" s="232" t="s">
        <v>1062</v>
      </c>
      <c r="M318" s="232" t="s">
        <v>1032</v>
      </c>
      <c r="N318" s="232" t="s">
        <v>1449</v>
      </c>
      <c r="O318" s="232" t="s">
        <v>1519</v>
      </c>
      <c r="P318" s="232" t="s">
        <v>1032</v>
      </c>
      <c r="Q318" s="232" t="s">
        <v>1032</v>
      </c>
      <c r="R318" s="232"/>
      <c r="S318" s="232" t="s">
        <v>1032</v>
      </c>
      <c r="T318" s="232" t="s">
        <v>1032</v>
      </c>
      <c r="U318" s="232" t="s">
        <v>1062</v>
      </c>
      <c r="V318" s="232" t="s">
        <v>1032</v>
      </c>
      <c r="W318" s="232" t="s">
        <v>75</v>
      </c>
      <c r="X318" s="232">
        <f t="shared" si="4"/>
        <v>10</v>
      </c>
    </row>
    <row r="319" spans="1:24" ht="75">
      <c r="A319" s="233" t="s">
        <v>840</v>
      </c>
      <c r="B319" s="232" t="s">
        <v>1202</v>
      </c>
      <c r="C319" s="232">
        <v>0</v>
      </c>
      <c r="D319" s="232">
        <v>0</v>
      </c>
      <c r="E319" s="232">
        <v>0</v>
      </c>
      <c r="F319" s="232">
        <v>0</v>
      </c>
      <c r="G319" s="232">
        <v>0</v>
      </c>
      <c r="H319" s="232">
        <v>0</v>
      </c>
      <c r="I319" s="232">
        <v>1</v>
      </c>
      <c r="J319" s="232">
        <v>0</v>
      </c>
      <c r="K319" s="232"/>
      <c r="L319" s="232" t="s">
        <v>8</v>
      </c>
      <c r="M319" s="232" t="s">
        <v>1032</v>
      </c>
      <c r="N319" s="232" t="s">
        <v>1449</v>
      </c>
      <c r="O319" s="232" t="s">
        <v>838</v>
      </c>
      <c r="P319" s="232" t="s">
        <v>1032</v>
      </c>
      <c r="Q319" s="232" t="s">
        <v>1032</v>
      </c>
      <c r="R319" s="232"/>
      <c r="S319" s="232" t="s">
        <v>1032</v>
      </c>
      <c r="T319" s="232" t="s">
        <v>1032</v>
      </c>
      <c r="U319" s="232" t="s">
        <v>40</v>
      </c>
      <c r="V319" s="232" t="s">
        <v>1032</v>
      </c>
      <c r="W319" s="232" t="s">
        <v>75</v>
      </c>
      <c r="X319" s="232">
        <f t="shared" ref="X319:X334" si="5">IF($W319="Critical Importance",20,IF($W319="Minor Importance",5,10))</f>
        <v>10</v>
      </c>
    </row>
    <row r="320" spans="1:24" ht="75">
      <c r="A320" s="233" t="s">
        <v>842</v>
      </c>
      <c r="B320" s="232" t="s">
        <v>1556</v>
      </c>
      <c r="C320" s="232">
        <v>0</v>
      </c>
      <c r="D320" s="232">
        <v>0</v>
      </c>
      <c r="E320" s="232">
        <v>0</v>
      </c>
      <c r="F320" s="232">
        <v>0</v>
      </c>
      <c r="G320" s="232">
        <v>0</v>
      </c>
      <c r="H320" s="232">
        <v>0</v>
      </c>
      <c r="I320" s="232">
        <v>1</v>
      </c>
      <c r="J320" s="232">
        <v>0</v>
      </c>
      <c r="K320" s="232"/>
      <c r="L320" s="232" t="s">
        <v>8</v>
      </c>
      <c r="M320" s="232" t="s">
        <v>1032</v>
      </c>
      <c r="N320" s="232" t="s">
        <v>1450</v>
      </c>
      <c r="O320" s="232" t="s">
        <v>845</v>
      </c>
      <c r="P320" s="232" t="s">
        <v>1032</v>
      </c>
      <c r="Q320" s="232" t="s">
        <v>1032</v>
      </c>
      <c r="R320" s="232"/>
      <c r="S320" s="232" t="s">
        <v>1529</v>
      </c>
      <c r="T320" s="232" t="s">
        <v>1529</v>
      </c>
      <c r="U320" s="232" t="s">
        <v>40</v>
      </c>
      <c r="V320" s="232" t="s">
        <v>1032</v>
      </c>
      <c r="W320" s="232" t="s">
        <v>46</v>
      </c>
      <c r="X320" s="232">
        <f t="shared" si="5"/>
        <v>20</v>
      </c>
    </row>
    <row r="321" spans="1:24" ht="75">
      <c r="A321" s="233" t="s">
        <v>844</v>
      </c>
      <c r="B321" s="232" t="s">
        <v>1084</v>
      </c>
      <c r="C321" s="232">
        <v>0</v>
      </c>
      <c r="D321" s="232">
        <v>0</v>
      </c>
      <c r="E321" s="232">
        <v>0</v>
      </c>
      <c r="F321" s="232">
        <v>0</v>
      </c>
      <c r="G321" s="232">
        <v>0</v>
      </c>
      <c r="H321" s="232">
        <v>0</v>
      </c>
      <c r="I321" s="232">
        <v>1</v>
      </c>
      <c r="J321" s="232">
        <v>0</v>
      </c>
      <c r="K321" s="232"/>
      <c r="L321" s="232" t="s">
        <v>8</v>
      </c>
      <c r="M321" s="232" t="s">
        <v>1032</v>
      </c>
      <c r="N321" s="232" t="s">
        <v>1450</v>
      </c>
      <c r="O321" s="232" t="s">
        <v>860</v>
      </c>
      <c r="P321" s="232" t="s">
        <v>1032</v>
      </c>
      <c r="Q321" s="232" t="s">
        <v>1032</v>
      </c>
      <c r="R321" s="232"/>
      <c r="S321" s="232" t="s">
        <v>1032</v>
      </c>
      <c r="T321" s="232" t="s">
        <v>1032</v>
      </c>
      <c r="U321" s="232" t="s">
        <v>40</v>
      </c>
      <c r="V321" s="232" t="s">
        <v>1032</v>
      </c>
      <c r="W321" s="232" t="s">
        <v>46</v>
      </c>
      <c r="X321" s="232">
        <f t="shared" si="5"/>
        <v>20</v>
      </c>
    </row>
    <row r="322" spans="1:24" ht="144.75" customHeight="1">
      <c r="A322" s="233" t="s">
        <v>846</v>
      </c>
      <c r="B322" s="232" t="s">
        <v>1274</v>
      </c>
      <c r="C322" s="232">
        <v>0</v>
      </c>
      <c r="D322" s="232">
        <v>0</v>
      </c>
      <c r="E322" s="232">
        <v>0</v>
      </c>
      <c r="F322" s="232">
        <v>0</v>
      </c>
      <c r="G322" s="232">
        <v>0</v>
      </c>
      <c r="H322" s="232">
        <v>0</v>
      </c>
      <c r="I322" s="232">
        <v>1</v>
      </c>
      <c r="J322" s="232">
        <v>0</v>
      </c>
      <c r="K322" s="232"/>
      <c r="L322" s="232" t="s">
        <v>8</v>
      </c>
      <c r="M322" s="232" t="s">
        <v>1032</v>
      </c>
      <c r="N322" s="232" t="s">
        <v>1450</v>
      </c>
      <c r="O322" s="232" t="s">
        <v>843</v>
      </c>
      <c r="P322" s="232" t="s">
        <v>1032</v>
      </c>
      <c r="Q322" s="232" t="s">
        <v>1032</v>
      </c>
      <c r="R322" s="232"/>
      <c r="S322" s="232" t="s">
        <v>1032</v>
      </c>
      <c r="T322" s="232" t="s">
        <v>1032</v>
      </c>
      <c r="U322" s="232" t="s">
        <v>40</v>
      </c>
      <c r="V322" s="232" t="s">
        <v>1032</v>
      </c>
      <c r="W322" s="232" t="s">
        <v>75</v>
      </c>
      <c r="X322" s="232">
        <f t="shared" si="5"/>
        <v>10</v>
      </c>
    </row>
    <row r="323" spans="1:24" ht="90" customHeight="1">
      <c r="A323" s="233" t="s">
        <v>849</v>
      </c>
      <c r="B323" s="232" t="s">
        <v>850</v>
      </c>
      <c r="C323" s="232">
        <v>0</v>
      </c>
      <c r="D323" s="232">
        <v>0</v>
      </c>
      <c r="E323" s="232">
        <v>0</v>
      </c>
      <c r="F323" s="232">
        <v>0</v>
      </c>
      <c r="G323" s="232">
        <v>0</v>
      </c>
      <c r="H323" s="232">
        <v>0</v>
      </c>
      <c r="I323" s="232">
        <v>1</v>
      </c>
      <c r="J323" s="232">
        <v>0</v>
      </c>
      <c r="K323" s="232"/>
      <c r="L323" s="232" t="s">
        <v>8</v>
      </c>
      <c r="M323" s="232" t="s">
        <v>1032</v>
      </c>
      <c r="N323" s="232" t="s">
        <v>1450</v>
      </c>
      <c r="O323" s="232" t="s">
        <v>851</v>
      </c>
      <c r="P323" s="232" t="s">
        <v>1032</v>
      </c>
      <c r="Q323" s="232" t="s">
        <v>1032</v>
      </c>
      <c r="R323" s="232"/>
      <c r="S323" s="232" t="s">
        <v>1032</v>
      </c>
      <c r="T323" s="232" t="s">
        <v>1032</v>
      </c>
      <c r="U323" s="232" t="s">
        <v>40</v>
      </c>
      <c r="V323" s="232" t="s">
        <v>1032</v>
      </c>
      <c r="W323" s="232" t="s">
        <v>75</v>
      </c>
      <c r="X323" s="232">
        <f t="shared" si="5"/>
        <v>10</v>
      </c>
    </row>
    <row r="324" spans="1:24" ht="90" customHeight="1">
      <c r="A324" s="233" t="s">
        <v>852</v>
      </c>
      <c r="B324" s="232" t="s">
        <v>847</v>
      </c>
      <c r="C324" s="232">
        <v>0</v>
      </c>
      <c r="D324" s="232">
        <v>0</v>
      </c>
      <c r="E324" s="232">
        <v>0</v>
      </c>
      <c r="F324" s="232">
        <v>0</v>
      </c>
      <c r="G324" s="232">
        <v>0</v>
      </c>
      <c r="H324" s="232">
        <v>0</v>
      </c>
      <c r="I324" s="232">
        <v>1</v>
      </c>
      <c r="J324" s="232">
        <v>0</v>
      </c>
      <c r="K324" s="232"/>
      <c r="L324" s="232" t="s">
        <v>8</v>
      </c>
      <c r="M324" s="232" t="s">
        <v>1032</v>
      </c>
      <c r="N324" s="232" t="s">
        <v>1450</v>
      </c>
      <c r="O324" s="232" t="s">
        <v>848</v>
      </c>
      <c r="P324" s="232" t="s">
        <v>1032</v>
      </c>
      <c r="Q324" s="232" t="s">
        <v>1032</v>
      </c>
      <c r="R324" s="232"/>
      <c r="S324" s="232" t="s">
        <v>1032</v>
      </c>
      <c r="T324" s="232" t="s">
        <v>1032</v>
      </c>
      <c r="U324" s="232" t="s">
        <v>40</v>
      </c>
      <c r="V324" s="232" t="s">
        <v>1032</v>
      </c>
      <c r="W324" s="232" t="s">
        <v>41</v>
      </c>
      <c r="X324" s="232">
        <f t="shared" si="5"/>
        <v>5</v>
      </c>
    </row>
    <row r="325" spans="1:24" ht="90" customHeight="1">
      <c r="A325" s="233" t="s">
        <v>854</v>
      </c>
      <c r="B325" s="232" t="s">
        <v>1203</v>
      </c>
      <c r="C325" s="232">
        <v>0</v>
      </c>
      <c r="D325" s="232">
        <v>0</v>
      </c>
      <c r="E325" s="232">
        <v>0</v>
      </c>
      <c r="F325" s="232">
        <v>0</v>
      </c>
      <c r="G325" s="232">
        <v>0</v>
      </c>
      <c r="H325" s="232">
        <v>0</v>
      </c>
      <c r="I325" s="232">
        <v>1</v>
      </c>
      <c r="J325" s="232">
        <v>0</v>
      </c>
      <c r="K325" s="232"/>
      <c r="L325" s="232" t="s">
        <v>8</v>
      </c>
      <c r="M325" s="232" t="s">
        <v>1032</v>
      </c>
      <c r="N325" s="232" t="s">
        <v>1450</v>
      </c>
      <c r="O325" s="232" t="s">
        <v>853</v>
      </c>
      <c r="P325" s="232" t="s">
        <v>1032</v>
      </c>
      <c r="Q325" s="232" t="s">
        <v>1032</v>
      </c>
      <c r="R325" s="232"/>
      <c r="S325" s="232" t="s">
        <v>1032</v>
      </c>
      <c r="T325" s="232" t="s">
        <v>1032</v>
      </c>
      <c r="U325" s="232" t="s">
        <v>40</v>
      </c>
      <c r="V325" s="232" t="s">
        <v>1032</v>
      </c>
      <c r="W325" s="232" t="s">
        <v>41</v>
      </c>
      <c r="X325" s="232">
        <f t="shared" si="5"/>
        <v>5</v>
      </c>
    </row>
    <row r="326" spans="1:24" ht="105">
      <c r="A326" s="233" t="s">
        <v>856</v>
      </c>
      <c r="B326" s="232" t="s">
        <v>1204</v>
      </c>
      <c r="C326" s="232">
        <v>0</v>
      </c>
      <c r="D326" s="232">
        <v>0</v>
      </c>
      <c r="E326" s="232">
        <v>0</v>
      </c>
      <c r="F326" s="232">
        <v>0</v>
      </c>
      <c r="G326" s="232">
        <v>0</v>
      </c>
      <c r="H326" s="232">
        <v>0</v>
      </c>
      <c r="I326" s="232">
        <v>1</v>
      </c>
      <c r="J326" s="232">
        <v>0</v>
      </c>
      <c r="K326" s="232"/>
      <c r="L326" s="232" t="s">
        <v>8</v>
      </c>
      <c r="M326" s="232" t="s">
        <v>1032</v>
      </c>
      <c r="N326" s="232" t="s">
        <v>1450</v>
      </c>
      <c r="O326" s="232" t="s">
        <v>855</v>
      </c>
      <c r="P326" s="232" t="s">
        <v>1032</v>
      </c>
      <c r="Q326" s="232" t="s">
        <v>1032</v>
      </c>
      <c r="R326" s="232"/>
      <c r="S326" s="232" t="s">
        <v>1032</v>
      </c>
      <c r="T326" s="232" t="s">
        <v>1032</v>
      </c>
      <c r="U326" s="232" t="s">
        <v>40</v>
      </c>
      <c r="V326" s="232" t="s">
        <v>1032</v>
      </c>
      <c r="W326" s="232" t="s">
        <v>41</v>
      </c>
      <c r="X326" s="232">
        <f t="shared" si="5"/>
        <v>5</v>
      </c>
    </row>
    <row r="327" spans="1:24" ht="90" customHeight="1">
      <c r="A327" s="233" t="s">
        <v>859</v>
      </c>
      <c r="B327" s="232" t="s">
        <v>857</v>
      </c>
      <c r="C327" s="232">
        <v>0</v>
      </c>
      <c r="D327" s="232">
        <v>0</v>
      </c>
      <c r="E327" s="232">
        <v>0</v>
      </c>
      <c r="F327" s="232">
        <v>0</v>
      </c>
      <c r="G327" s="232">
        <v>0</v>
      </c>
      <c r="H327" s="232">
        <v>0</v>
      </c>
      <c r="I327" s="232">
        <v>1</v>
      </c>
      <c r="J327" s="232">
        <v>0</v>
      </c>
      <c r="K327" s="232"/>
      <c r="L327" s="232" t="s">
        <v>8</v>
      </c>
      <c r="M327" s="232" t="s">
        <v>1032</v>
      </c>
      <c r="N327" s="232" t="s">
        <v>1450</v>
      </c>
      <c r="O327" s="232" t="s">
        <v>858</v>
      </c>
      <c r="P327" s="232" t="s">
        <v>1032</v>
      </c>
      <c r="Q327" s="232" t="s">
        <v>1032</v>
      </c>
      <c r="R327" s="232"/>
      <c r="S327" s="232" t="s">
        <v>1032</v>
      </c>
      <c r="T327" s="232" t="s">
        <v>1032</v>
      </c>
      <c r="U327" s="232" t="s">
        <v>40</v>
      </c>
      <c r="V327" s="232" t="s">
        <v>1032</v>
      </c>
      <c r="W327" s="232" t="s">
        <v>41</v>
      </c>
      <c r="X327" s="232">
        <f t="shared" si="5"/>
        <v>5</v>
      </c>
    </row>
    <row r="328" spans="1:24" ht="90" customHeight="1">
      <c r="A328" s="233" t="s">
        <v>861</v>
      </c>
      <c r="B328" s="232" t="s">
        <v>1275</v>
      </c>
      <c r="C328" s="232">
        <v>0</v>
      </c>
      <c r="D328" s="232">
        <v>0</v>
      </c>
      <c r="E328" s="232">
        <v>0</v>
      </c>
      <c r="F328" s="232">
        <v>0</v>
      </c>
      <c r="G328" s="232">
        <v>0</v>
      </c>
      <c r="H328" s="232">
        <v>0</v>
      </c>
      <c r="I328" s="232">
        <v>1</v>
      </c>
      <c r="J328" s="232">
        <v>0</v>
      </c>
      <c r="K328" s="232"/>
      <c r="L328" s="232" t="s">
        <v>8</v>
      </c>
      <c r="M328" s="232" t="s">
        <v>1032</v>
      </c>
      <c r="N328" s="232" t="s">
        <v>1450</v>
      </c>
      <c r="O328" s="232" t="s">
        <v>1205</v>
      </c>
      <c r="P328" s="232" t="s">
        <v>1032</v>
      </c>
      <c r="Q328" s="232" t="s">
        <v>1032</v>
      </c>
      <c r="R328" s="232"/>
      <c r="S328" s="232" t="s">
        <v>1529</v>
      </c>
      <c r="T328" s="232" t="s">
        <v>1529</v>
      </c>
      <c r="U328" s="232" t="s">
        <v>40</v>
      </c>
      <c r="V328" s="232" t="s">
        <v>1032</v>
      </c>
      <c r="W328" s="232" t="s">
        <v>46</v>
      </c>
      <c r="X328" s="232">
        <f t="shared" si="5"/>
        <v>20</v>
      </c>
    </row>
    <row r="329" spans="1:24" ht="135">
      <c r="A329" s="233" t="s">
        <v>862</v>
      </c>
      <c r="B329" s="232" t="s">
        <v>1276</v>
      </c>
      <c r="C329" s="232">
        <v>0</v>
      </c>
      <c r="D329" s="232">
        <v>0</v>
      </c>
      <c r="E329" s="232">
        <v>0</v>
      </c>
      <c r="F329" s="232">
        <v>0</v>
      </c>
      <c r="G329" s="232">
        <v>0</v>
      </c>
      <c r="H329" s="232">
        <v>0</v>
      </c>
      <c r="I329" s="232">
        <v>1</v>
      </c>
      <c r="J329" s="232">
        <v>0</v>
      </c>
      <c r="K329" s="232"/>
      <c r="L329" s="232" t="s">
        <v>8</v>
      </c>
      <c r="M329" s="232" t="s">
        <v>1032</v>
      </c>
      <c r="N329" s="232" t="s">
        <v>1451</v>
      </c>
      <c r="O329" s="232" t="s">
        <v>863</v>
      </c>
      <c r="P329" s="232" t="s">
        <v>1032</v>
      </c>
      <c r="Q329" s="232" t="s">
        <v>1032</v>
      </c>
      <c r="R329" s="232"/>
      <c r="S329" s="232" t="s">
        <v>1032</v>
      </c>
      <c r="T329" s="232" t="s">
        <v>1032</v>
      </c>
      <c r="U329" s="232" t="s">
        <v>40</v>
      </c>
      <c r="V329" s="232" t="s">
        <v>1032</v>
      </c>
      <c r="W329" s="232" t="s">
        <v>46</v>
      </c>
      <c r="X329" s="232">
        <f t="shared" si="5"/>
        <v>20</v>
      </c>
    </row>
    <row r="330" spans="1:24" ht="90" customHeight="1">
      <c r="A330" s="233" t="s">
        <v>864</v>
      </c>
      <c r="B330" s="232" t="s">
        <v>1277</v>
      </c>
      <c r="C330" s="232">
        <v>0</v>
      </c>
      <c r="D330" s="232">
        <v>0</v>
      </c>
      <c r="E330" s="232">
        <v>0</v>
      </c>
      <c r="F330" s="232">
        <v>0</v>
      </c>
      <c r="G330" s="232">
        <v>0</v>
      </c>
      <c r="H330" s="232">
        <v>0</v>
      </c>
      <c r="I330" s="232">
        <v>1</v>
      </c>
      <c r="J330" s="232">
        <v>0</v>
      </c>
      <c r="K330" s="232"/>
      <c r="L330" s="232" t="s">
        <v>8</v>
      </c>
      <c r="M330" s="232" t="s">
        <v>1032</v>
      </c>
      <c r="N330" s="232" t="s">
        <v>1451</v>
      </c>
      <c r="O330" s="232" t="s">
        <v>867</v>
      </c>
      <c r="P330" s="232" t="s">
        <v>1032</v>
      </c>
      <c r="Q330" s="232" t="s">
        <v>1032</v>
      </c>
      <c r="R330" s="232"/>
      <c r="S330" s="232" t="s">
        <v>1032</v>
      </c>
      <c r="T330" s="232" t="s">
        <v>1032</v>
      </c>
      <c r="U330" s="232" t="s">
        <v>40</v>
      </c>
      <c r="V330" s="232" t="s">
        <v>1032</v>
      </c>
      <c r="W330" s="232" t="s">
        <v>46</v>
      </c>
      <c r="X330" s="232">
        <f t="shared" si="5"/>
        <v>20</v>
      </c>
    </row>
    <row r="331" spans="1:24" ht="90" customHeight="1">
      <c r="A331" s="233" t="s">
        <v>866</v>
      </c>
      <c r="B331" s="232" t="s">
        <v>1206</v>
      </c>
      <c r="C331" s="232">
        <v>0</v>
      </c>
      <c r="D331" s="232">
        <v>0</v>
      </c>
      <c r="E331" s="232">
        <v>0</v>
      </c>
      <c r="F331" s="232">
        <v>0</v>
      </c>
      <c r="G331" s="232">
        <v>0</v>
      </c>
      <c r="H331" s="232">
        <v>0</v>
      </c>
      <c r="I331" s="232">
        <v>1</v>
      </c>
      <c r="J331" s="232">
        <v>0</v>
      </c>
      <c r="K331" s="232"/>
      <c r="L331" s="232" t="s">
        <v>8</v>
      </c>
      <c r="M331" s="232" t="s">
        <v>1032</v>
      </c>
      <c r="N331" s="232" t="s">
        <v>1452</v>
      </c>
      <c r="O331" s="232" t="s">
        <v>869</v>
      </c>
      <c r="P331" s="232" t="s">
        <v>1032</v>
      </c>
      <c r="Q331" s="232" t="s">
        <v>1032</v>
      </c>
      <c r="R331" s="232"/>
      <c r="S331" s="232" t="s">
        <v>1032</v>
      </c>
      <c r="T331" s="232" t="s">
        <v>1032</v>
      </c>
      <c r="U331" s="232" t="s">
        <v>40</v>
      </c>
      <c r="V331" s="232" t="s">
        <v>1032</v>
      </c>
      <c r="W331" s="232" t="s">
        <v>46</v>
      </c>
      <c r="X331" s="232">
        <f t="shared" si="5"/>
        <v>20</v>
      </c>
    </row>
    <row r="332" spans="1:24" ht="90" customHeight="1">
      <c r="A332" s="233" t="s">
        <v>868</v>
      </c>
      <c r="B332" s="232" t="s">
        <v>1278</v>
      </c>
      <c r="C332" s="232">
        <v>0</v>
      </c>
      <c r="D332" s="232">
        <v>0</v>
      </c>
      <c r="E332" s="232">
        <v>0</v>
      </c>
      <c r="F332" s="232">
        <v>0</v>
      </c>
      <c r="G332" s="232">
        <v>0</v>
      </c>
      <c r="H332" s="232">
        <v>0</v>
      </c>
      <c r="I332" s="232">
        <v>1</v>
      </c>
      <c r="J332" s="232">
        <v>0</v>
      </c>
      <c r="K332" s="232"/>
      <c r="L332" s="232" t="s">
        <v>8</v>
      </c>
      <c r="M332" s="232" t="s">
        <v>1032</v>
      </c>
      <c r="N332" s="232" t="s">
        <v>1451</v>
      </c>
      <c r="O332" s="232" t="s">
        <v>865</v>
      </c>
      <c r="P332" s="232" t="s">
        <v>1032</v>
      </c>
      <c r="Q332" s="232" t="s">
        <v>1032</v>
      </c>
      <c r="R332" s="232"/>
      <c r="S332" s="232" t="s">
        <v>1032</v>
      </c>
      <c r="T332" s="232" t="s">
        <v>1032</v>
      </c>
      <c r="U332" s="232" t="s">
        <v>40</v>
      </c>
      <c r="V332" s="232" t="s">
        <v>1032</v>
      </c>
      <c r="W332" s="232" t="s">
        <v>75</v>
      </c>
      <c r="X332" s="232">
        <f t="shared" si="5"/>
        <v>10</v>
      </c>
    </row>
    <row r="333" spans="1:24" ht="90" customHeight="1">
      <c r="A333" s="233" t="s">
        <v>870</v>
      </c>
      <c r="B333" s="232" t="s">
        <v>874</v>
      </c>
      <c r="C333" s="232">
        <v>0</v>
      </c>
      <c r="D333" s="232">
        <v>0</v>
      </c>
      <c r="E333" s="232">
        <v>0</v>
      </c>
      <c r="F333" s="232">
        <v>0</v>
      </c>
      <c r="G333" s="232">
        <v>0</v>
      </c>
      <c r="H333" s="232">
        <v>0</v>
      </c>
      <c r="I333" s="232">
        <v>1</v>
      </c>
      <c r="J333" s="232">
        <v>0</v>
      </c>
      <c r="K333" s="232"/>
      <c r="L333" s="232" t="s">
        <v>8</v>
      </c>
      <c r="M333" s="232" t="s">
        <v>1032</v>
      </c>
      <c r="N333" s="232" t="s">
        <v>1451</v>
      </c>
      <c r="O333" s="232" t="s">
        <v>875</v>
      </c>
      <c r="P333" s="232" t="s">
        <v>1032</v>
      </c>
      <c r="Q333" s="232" t="s">
        <v>1032</v>
      </c>
      <c r="R333" s="232"/>
      <c r="S333" s="232" t="s">
        <v>1032</v>
      </c>
      <c r="T333" s="232" t="s">
        <v>1032</v>
      </c>
      <c r="U333" s="232" t="s">
        <v>40</v>
      </c>
      <c r="V333" s="232" t="s">
        <v>1032</v>
      </c>
      <c r="W333" s="232" t="s">
        <v>75</v>
      </c>
      <c r="X333" s="232">
        <f t="shared" si="5"/>
        <v>10</v>
      </c>
    </row>
    <row r="334" spans="1:24" ht="90" customHeight="1">
      <c r="A334" s="233" t="s">
        <v>873</v>
      </c>
      <c r="B334" s="232" t="s">
        <v>871</v>
      </c>
      <c r="C334" s="232">
        <v>0</v>
      </c>
      <c r="D334" s="232">
        <v>0</v>
      </c>
      <c r="E334" s="232">
        <v>0</v>
      </c>
      <c r="F334" s="232">
        <v>0</v>
      </c>
      <c r="G334" s="232">
        <v>0</v>
      </c>
      <c r="H334" s="232">
        <v>0</v>
      </c>
      <c r="I334" s="232">
        <v>1</v>
      </c>
      <c r="J334" s="232">
        <v>0</v>
      </c>
      <c r="K334" s="232"/>
      <c r="L334" s="232" t="s">
        <v>8</v>
      </c>
      <c r="M334" s="232" t="s">
        <v>1032</v>
      </c>
      <c r="N334" s="232" t="s">
        <v>1451</v>
      </c>
      <c r="O334" s="232" t="s">
        <v>872</v>
      </c>
      <c r="P334" s="232" t="s">
        <v>1032</v>
      </c>
      <c r="Q334" s="232" t="s">
        <v>1032</v>
      </c>
      <c r="R334" s="232"/>
      <c r="S334" s="232" t="s">
        <v>1032</v>
      </c>
      <c r="T334" s="232" t="s">
        <v>1032</v>
      </c>
      <c r="U334" s="232" t="s">
        <v>40</v>
      </c>
      <c r="V334" s="232" t="s">
        <v>1032</v>
      </c>
      <c r="W334" s="232" t="s">
        <v>41</v>
      </c>
      <c r="X334" s="232">
        <f t="shared" si="5"/>
        <v>5</v>
      </c>
    </row>
    <row r="335" spans="1:24" ht="14">
      <c r="A335" s="233"/>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row>
    <row r="336" spans="1:24" ht="14">
      <c r="A336" s="233"/>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row>
    <row r="337" spans="1:24" ht="14">
      <c r="A337" s="233"/>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row>
    <row r="338" spans="1:24" ht="14">
      <c r="A338" s="233"/>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row>
    <row r="339" spans="1:24" ht="14">
      <c r="A339" s="233"/>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row>
    <row r="340" spans="1:24" ht="14">
      <c r="A340" s="233"/>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row>
    <row r="341" spans="1:24" ht="14">
      <c r="A341" s="233"/>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row>
    <row r="342" spans="1:24" ht="14">
      <c r="A342" s="233"/>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row>
    <row r="343" spans="1:24" ht="14">
      <c r="A343" s="233"/>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row>
    <row r="344" spans="1:24" ht="14">
      <c r="A344" s="233"/>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row>
    <row r="345" spans="1:24" ht="14">
      <c r="A345" s="233"/>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row>
    <row r="346" spans="1:24" ht="14">
      <c r="A346" s="233"/>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row>
    <row r="347" spans="1:24" ht="14">
      <c r="A347" s="233"/>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row>
    <row r="348" spans="1:24" ht="14">
      <c r="A348" s="233"/>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row>
    <row r="349" spans="1:24" ht="14">
      <c r="A349" s="233"/>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row>
    <row r="350" spans="1:24" ht="14">
      <c r="A350" s="233"/>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row>
    <row r="351" spans="1:24" ht="14">
      <c r="A351" s="233"/>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row>
    <row r="352" spans="1:24" ht="14">
      <c r="A352" s="233"/>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row>
    <row r="353" spans="1:24" ht="14">
      <c r="A353" s="233"/>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row>
    <row r="354" spans="1:24" ht="14">
      <c r="A354" s="233"/>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row>
    <row r="355" spans="1:24" ht="14">
      <c r="A355" s="233"/>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row>
    <row r="356" spans="1:24" ht="14">
      <c r="A356" s="233"/>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row>
    <row r="357" spans="1:24" ht="14">
      <c r="A357" s="233"/>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row>
    <row r="358" spans="1:24" ht="14">
      <c r="A358" s="233"/>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row>
    <row r="359" spans="1:24" ht="14">
      <c r="A359" s="233"/>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row>
    <row r="360" spans="1:24" ht="14">
      <c r="A360" s="233"/>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row>
    <row r="361" spans="1:24" ht="14">
      <c r="A361" s="233"/>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row>
    <row r="362" spans="1:24" ht="14">
      <c r="A362" s="233"/>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row>
    <row r="363" spans="1:24" ht="14">
      <c r="A363" s="233"/>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row>
    <row r="364" spans="1:24" ht="14">
      <c r="A364" s="233"/>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row>
    <row r="365" spans="1:24" ht="14">
      <c r="A365" s="233"/>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row>
    <row r="366" spans="1:24" ht="14">
      <c r="A366" s="233"/>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row>
    <row r="367" spans="1:24" ht="14">
      <c r="A367" s="233"/>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row>
    <row r="368" spans="1:24" ht="14">
      <c r="A368" s="233"/>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row>
    <row r="369" spans="1:24" ht="14">
      <c r="A369" s="233"/>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row>
    <row r="370" spans="1:24" ht="14">
      <c r="A370" s="233"/>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row>
    <row r="371" spans="1:24" ht="14">
      <c r="A371" s="233"/>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row>
    <row r="372" spans="1:24" ht="14">
      <c r="A372" s="233"/>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row>
    <row r="373" spans="1:24" ht="14">
      <c r="A373" s="233"/>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row>
    <row r="374" spans="1:24" ht="14">
      <c r="A374" s="233"/>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row>
    <row r="375" spans="1:24" ht="14">
      <c r="A375" s="233"/>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row>
    <row r="376" spans="1:24" ht="14">
      <c r="A376" s="233"/>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row>
    <row r="377" spans="1:24" ht="14">
      <c r="A377" s="233"/>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row>
    <row r="378" spans="1:24" ht="14">
      <c r="A378" s="233"/>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row>
    <row r="379" spans="1:24" ht="14">
      <c r="A379" s="233"/>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row>
    <row r="380" spans="1:24" ht="14">
      <c r="A380" s="233"/>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row>
    <row r="381" spans="1:24" ht="14">
      <c r="A381" s="233"/>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row>
    <row r="382" spans="1:24" ht="14">
      <c r="A382" s="233"/>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row>
    <row r="383" spans="1:24" ht="14">
      <c r="A383" s="233"/>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row>
    <row r="384" spans="1:24" ht="14">
      <c r="A384" s="233"/>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row>
    <row r="385" spans="1:24" ht="14">
      <c r="A385" s="233"/>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row>
    <row r="386" spans="1:24" ht="14">
      <c r="A386" s="233"/>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row>
    <row r="387" spans="1:24" ht="14">
      <c r="A387" s="233"/>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row>
    <row r="388" spans="1:24" ht="14">
      <c r="A388" s="233"/>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row>
    <row r="389" spans="1:24" ht="14">
      <c r="A389" s="233"/>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row>
    <row r="390" spans="1:24" ht="14">
      <c r="A390" s="233"/>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row>
    <row r="391" spans="1:24" ht="14">
      <c r="A391" s="233"/>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row>
    <row r="392" spans="1:24" ht="14">
      <c r="A392" s="233"/>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row>
    <row r="393" spans="1:24" ht="14">
      <c r="A393" s="233"/>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row>
    <row r="394" spans="1:24" ht="14">
      <c r="A394" s="233"/>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row>
    <row r="395" spans="1:24" ht="14">
      <c r="A395" s="233"/>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row>
    <row r="396" spans="1:24" ht="14">
      <c r="A396" s="233"/>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row>
    <row r="397" spans="1:24" ht="14">
      <c r="A397" s="233"/>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row>
    <row r="398" spans="1:24" ht="14">
      <c r="A398" s="233"/>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row>
    <row r="399" spans="1:24" ht="14">
      <c r="A399" s="233"/>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row>
    <row r="400" spans="1:24" ht="14">
      <c r="A400" s="233"/>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row>
    <row r="401" spans="1:24" ht="14">
      <c r="A401" s="233"/>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row>
    <row r="402" spans="1:24" ht="14">
      <c r="A402" s="233"/>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row>
    <row r="403" spans="1:24" ht="14">
      <c r="A403" s="233"/>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row>
    <row r="404" spans="1:24" ht="14">
      <c r="A404" s="233"/>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row>
    <row r="405" spans="1:24" ht="14">
      <c r="A405" s="233"/>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row>
    <row r="406" spans="1:24" ht="14">
      <c r="A406" s="233"/>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row>
    <row r="407" spans="1:24" ht="14">
      <c r="A407" s="233"/>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row>
    <row r="408" spans="1:24" ht="14">
      <c r="A408" s="233"/>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row>
    <row r="409" spans="1:24" ht="14">
      <c r="A409" s="233"/>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row>
    <row r="410" spans="1:24" ht="14">
      <c r="A410" s="233"/>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row>
    <row r="411" spans="1:24" ht="14">
      <c r="A411" s="233"/>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row>
    <row r="412" spans="1:24" ht="14">
      <c r="A412" s="233"/>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row>
    <row r="413" spans="1:24" ht="14">
      <c r="A413" s="233"/>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row>
    <row r="414" spans="1:24" ht="14">
      <c r="A414" s="233"/>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row>
    <row r="415" spans="1:24" ht="14">
      <c r="A415" s="233"/>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row>
    <row r="416" spans="1:24" ht="14">
      <c r="A416" s="233"/>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row>
    <row r="417" spans="1:24" ht="14">
      <c r="A417" s="233"/>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row>
    <row r="418" spans="1:24" ht="14">
      <c r="A418" s="233"/>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row>
    <row r="419" spans="1:24" ht="14">
      <c r="A419" s="233"/>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row>
    <row r="420" spans="1:24" ht="14">
      <c r="A420" s="233"/>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row>
    <row r="421" spans="1:24" ht="14">
      <c r="A421" s="233"/>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row>
    <row r="422" spans="1:24" ht="14">
      <c r="A422" s="233"/>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row>
    <row r="423" spans="1:24" ht="14">
      <c r="A423" s="233"/>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row>
    <row r="424" spans="1:24" ht="14">
      <c r="A424" s="233"/>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row>
    <row r="425" spans="1:24" ht="14">
      <c r="A425" s="233"/>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row>
    <row r="426" spans="1:24" ht="14">
      <c r="A426" s="233"/>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row>
    <row r="427" spans="1:24" ht="14">
      <c r="A427" s="233"/>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row>
    <row r="428" spans="1:24" ht="14">
      <c r="A428" s="233"/>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row>
    <row r="429" spans="1:24" ht="14">
      <c r="A429" s="233"/>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row>
    <row r="430" spans="1:24" ht="14">
      <c r="A430" s="233"/>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row>
    <row r="431" spans="1:24" ht="14">
      <c r="A431" s="233"/>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row>
    <row r="432" spans="1:24" ht="14">
      <c r="A432" s="233"/>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row>
    <row r="433" spans="1:24" ht="14">
      <c r="A433" s="233"/>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row>
    <row r="434" spans="1:24" ht="14">
      <c r="A434" s="233"/>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row>
    <row r="435" spans="1:24" ht="14">
      <c r="A435" s="233"/>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row>
    <row r="436" spans="1:24" ht="14">
      <c r="A436" s="233"/>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row>
    <row r="437" spans="1:24" ht="14">
      <c r="A437" s="233"/>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row>
    <row r="438" spans="1:24" ht="14">
      <c r="A438" s="233"/>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row>
    <row r="439" spans="1:24" ht="14">
      <c r="A439" s="233"/>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row>
    <row r="440" spans="1:24" ht="14">
      <c r="A440" s="233"/>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row>
    <row r="441" spans="1:24" ht="14">
      <c r="A441" s="233"/>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row>
    <row r="442" spans="1:24" ht="14">
      <c r="A442" s="233"/>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row>
    <row r="443" spans="1:24" ht="14">
      <c r="A443" s="233"/>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row>
    <row r="444" spans="1:24" ht="14">
      <c r="A444" s="233"/>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row>
    <row r="445" spans="1:24" ht="14">
      <c r="A445" s="233"/>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row>
    <row r="446" spans="1:24" ht="14">
      <c r="A446" s="233"/>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row>
    <row r="447" spans="1:24" ht="14">
      <c r="A447" s="233"/>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row>
    <row r="448" spans="1:24" ht="14">
      <c r="A448" s="233"/>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row>
    <row r="449" spans="1:24" ht="14">
      <c r="A449" s="233"/>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row>
    <row r="450" spans="1:24" ht="14">
      <c r="A450" s="233"/>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row>
    <row r="451" spans="1:24" ht="14">
      <c r="A451" s="233"/>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row>
    <row r="452" spans="1:24" ht="14">
      <c r="A452" s="233"/>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row>
    <row r="453" spans="1:24" ht="14">
      <c r="A453" s="233"/>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row>
    <row r="454" spans="1:24" ht="14">
      <c r="A454" s="233"/>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row>
    <row r="455" spans="1:24" ht="14">
      <c r="A455" s="233"/>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row>
    <row r="456" spans="1:24" ht="14">
      <c r="A456" s="233"/>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row>
    <row r="457" spans="1:24" ht="14">
      <c r="A457" s="233"/>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row>
    <row r="458" spans="1:24" ht="14">
      <c r="A458" s="233"/>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row>
    <row r="459" spans="1:24" ht="14">
      <c r="A459" s="233"/>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row>
    <row r="460" spans="1:24" ht="14">
      <c r="A460" s="233"/>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row>
    <row r="461" spans="1:24" ht="14">
      <c r="A461" s="233"/>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row>
    <row r="462" spans="1:24" ht="14">
      <c r="A462" s="233"/>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row>
    <row r="463" spans="1:24" ht="14">
      <c r="A463" s="233"/>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row>
    <row r="464" spans="1:24" ht="14">
      <c r="A464" s="233"/>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row>
    <row r="465" spans="1:24" ht="14">
      <c r="A465" s="233"/>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row>
    <row r="466" spans="1:24" ht="14">
      <c r="A466" s="233"/>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row>
    <row r="467" spans="1:24" ht="14">
      <c r="A467" s="233"/>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row>
    <row r="468" spans="1:24" ht="14">
      <c r="A468" s="233"/>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row>
    <row r="469" spans="1:24" ht="14">
      <c r="A469" s="233"/>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row>
    <row r="470" spans="1:24" ht="14">
      <c r="A470" s="233"/>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row>
    <row r="471" spans="1:24" ht="14">
      <c r="A471" s="233"/>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row>
    <row r="472" spans="1:24" ht="14">
      <c r="A472" s="233"/>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row>
    <row r="473" spans="1:24" ht="14">
      <c r="A473" s="233"/>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row>
    <row r="474" spans="1:24" ht="14">
      <c r="A474" s="233"/>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row>
    <row r="475" spans="1:24" ht="14">
      <c r="A475" s="233"/>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row>
    <row r="476" spans="1:24" ht="14">
      <c r="A476" s="233"/>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row>
    <row r="477" spans="1:24" ht="14">
      <c r="A477" s="233"/>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row>
    <row r="478" spans="1:24" ht="14">
      <c r="A478" s="233"/>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row>
    <row r="479" spans="1:24" ht="14">
      <c r="A479" s="233"/>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row>
    <row r="480" spans="1:24" ht="14">
      <c r="A480" s="233"/>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row>
    <row r="481" spans="1:24" ht="14">
      <c r="A481" s="233"/>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row>
    <row r="482" spans="1:24" ht="14">
      <c r="A482" s="233"/>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row>
    <row r="483" spans="1:24" ht="14">
      <c r="A483" s="233"/>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row>
    <row r="484" spans="1:24" ht="14">
      <c r="A484" s="233"/>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row>
    <row r="485" spans="1:24" ht="14">
      <c r="A485" s="233"/>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row>
    <row r="486" spans="1:24" ht="14">
      <c r="A486" s="233"/>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row>
    <row r="487" spans="1:24" ht="14">
      <c r="A487" s="233"/>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row>
    <row r="488" spans="1:24" ht="14">
      <c r="A488" s="233"/>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row>
    <row r="489" spans="1:24" ht="14">
      <c r="A489" s="233"/>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row>
    <row r="490" spans="1:24" ht="14">
      <c r="A490" s="233"/>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row>
    <row r="491" spans="1:24" ht="14">
      <c r="A491" s="233"/>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row>
    <row r="492" spans="1:24" ht="14">
      <c r="A492" s="233"/>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row>
    <row r="493" spans="1:24" ht="14">
      <c r="A493" s="233"/>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row>
    <row r="494" spans="1:24" ht="14">
      <c r="A494" s="233"/>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row>
    <row r="495" spans="1:24" ht="14">
      <c r="A495" s="233"/>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row>
    <row r="496" spans="1:24" ht="14">
      <c r="A496" s="233"/>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row>
    <row r="497" spans="1:24" ht="14">
      <c r="A497" s="233"/>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row>
    <row r="498" spans="1:24" ht="14">
      <c r="A498" s="233"/>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row>
    <row r="499" spans="1:24" ht="14">
      <c r="A499" s="233"/>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row>
    <row r="500" spans="1:24" ht="14">
      <c r="A500" s="233"/>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row>
    <row r="501" spans="1:24" ht="14">
      <c r="A501" s="233"/>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row>
    <row r="502" spans="1:24" ht="14">
      <c r="A502" s="233"/>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row>
    <row r="503" spans="1:24" ht="14">
      <c r="A503" s="233"/>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row>
    <row r="504" spans="1:24" ht="14">
      <c r="A504" s="233"/>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row>
    <row r="505" spans="1:24" ht="14">
      <c r="A505" s="233"/>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row>
    <row r="506" spans="1:24" ht="14">
      <c r="A506" s="233"/>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row>
    <row r="507" spans="1:24" ht="14">
      <c r="A507" s="233"/>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row>
    <row r="508" spans="1:24" ht="14">
      <c r="A508" s="233"/>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row>
    <row r="509" spans="1:24" ht="14">
      <c r="A509" s="233"/>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row>
    <row r="510" spans="1:24" ht="14">
      <c r="A510" s="233"/>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row>
    <row r="511" spans="1:24" ht="14">
      <c r="A511" s="233"/>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row>
    <row r="512" spans="1:24" ht="14">
      <c r="A512" s="233"/>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row>
    <row r="513" spans="1:24" ht="14">
      <c r="A513" s="233"/>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row>
    <row r="514" spans="1:24" ht="14">
      <c r="A514" s="233"/>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row>
    <row r="515" spans="1:24" ht="14">
      <c r="A515" s="233"/>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row>
    <row r="516" spans="1:24" ht="14">
      <c r="A516" s="233"/>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row>
    <row r="517" spans="1:24" ht="14">
      <c r="A517" s="233"/>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row>
    <row r="518" spans="1:24" ht="14">
      <c r="A518" s="233"/>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row>
    <row r="519" spans="1:24" ht="14">
      <c r="A519" s="233"/>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row>
    <row r="520" spans="1:24" ht="14">
      <c r="A520" s="233"/>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row>
    <row r="521" spans="1:24" ht="14">
      <c r="A521" s="233"/>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row>
    <row r="522" spans="1:24" ht="14">
      <c r="A522" s="233"/>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row>
    <row r="523" spans="1:24" ht="14">
      <c r="A523" s="233"/>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row>
    <row r="524" spans="1:24" ht="14">
      <c r="A524" s="233"/>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row>
    <row r="525" spans="1:24" ht="14">
      <c r="A525" s="233"/>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row>
    <row r="526" spans="1:24" ht="14">
      <c r="A526" s="233"/>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row>
    <row r="527" spans="1:24" ht="14">
      <c r="A527" s="233"/>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row>
    <row r="528" spans="1:24" ht="14">
      <c r="A528" s="233"/>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row>
    <row r="529" spans="1:24" ht="14">
      <c r="A529" s="233"/>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row>
    <row r="530" spans="1:24" ht="14">
      <c r="A530" s="233"/>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row>
    <row r="531" spans="1:24" ht="14">
      <c r="A531" s="233"/>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row>
    <row r="532" spans="1:24" ht="14">
      <c r="A532" s="233"/>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row>
    <row r="533" spans="1:24" ht="14">
      <c r="A533" s="233"/>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row>
    <row r="534" spans="1:24" ht="14">
      <c r="A534" s="233"/>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row>
    <row r="535" spans="1:24" ht="14">
      <c r="A535" s="233"/>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row>
    <row r="536" spans="1:24" ht="14">
      <c r="A536" s="233"/>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row>
    <row r="537" spans="1:24" ht="14">
      <c r="A537" s="233"/>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row>
    <row r="538" spans="1:24" ht="14">
      <c r="A538" s="233"/>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row>
    <row r="539" spans="1:24" ht="14">
      <c r="A539" s="233"/>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row>
    <row r="540" spans="1:24" ht="14">
      <c r="A540" s="233"/>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row>
    <row r="541" spans="1:24" ht="14">
      <c r="A541" s="233"/>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row>
    <row r="542" spans="1:24" ht="14">
      <c r="A542" s="233"/>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row>
    <row r="543" spans="1:24" ht="14">
      <c r="A543" s="233"/>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row>
    <row r="544" spans="1:24" ht="14">
      <c r="A544" s="233"/>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row>
    <row r="545" spans="1:24" ht="14">
      <c r="A545" s="233"/>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row>
    <row r="546" spans="1:24" ht="14">
      <c r="A546" s="233"/>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row>
    <row r="547" spans="1:24" ht="14">
      <c r="A547" s="233"/>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row>
    <row r="548" spans="1:24" ht="14">
      <c r="A548" s="233"/>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row>
    <row r="549" spans="1:24" ht="14">
      <c r="A549" s="233"/>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row>
    <row r="550" spans="1:24" ht="14">
      <c r="A550" s="233"/>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row>
    <row r="551" spans="1:24" ht="14">
      <c r="A551" s="233"/>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row>
    <row r="552" spans="1:24" ht="14">
      <c r="A552" s="233"/>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row>
    <row r="553" spans="1:24" ht="14">
      <c r="A553" s="233"/>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row>
    <row r="554" spans="1:24" ht="14">
      <c r="A554" s="233"/>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row>
    <row r="555" spans="1:24" ht="14">
      <c r="A555" s="233"/>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row>
    <row r="556" spans="1:24" ht="14">
      <c r="A556" s="233"/>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row>
    <row r="557" spans="1:24" ht="14">
      <c r="A557" s="233"/>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row>
    <row r="558" spans="1:24" ht="14">
      <c r="A558" s="233"/>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row>
    <row r="559" spans="1:24" ht="14">
      <c r="A559" s="233"/>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row>
    <row r="560" spans="1:24" ht="14">
      <c r="A560" s="233"/>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row>
    <row r="561" spans="1:24" ht="14">
      <c r="A561" s="233"/>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row>
    <row r="562" spans="1:24" ht="14">
      <c r="A562" s="233"/>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row>
    <row r="563" spans="1:24" ht="14">
      <c r="A563" s="233"/>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row>
    <row r="564" spans="1:24" ht="14">
      <c r="A564" s="233"/>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row>
    <row r="565" spans="1:24" ht="14">
      <c r="A565" s="233"/>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row>
    <row r="566" spans="1:24" ht="14">
      <c r="A566" s="233"/>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row>
    <row r="567" spans="1:24" ht="14">
      <c r="A567" s="233"/>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row>
    <row r="568" spans="1:24" ht="14">
      <c r="A568" s="233"/>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row>
    <row r="569" spans="1:24" ht="14">
      <c r="A569" s="233"/>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row>
    <row r="570" spans="1:24" ht="14">
      <c r="A570" s="233"/>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row>
    <row r="571" spans="1:24" ht="14">
      <c r="A571" s="233"/>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row>
    <row r="572" spans="1:24" ht="14">
      <c r="A572" s="233"/>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row>
    <row r="573" spans="1:24" ht="14">
      <c r="A573" s="233"/>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row>
    <row r="574" spans="1:24" ht="14">
      <c r="A574" s="233"/>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row>
    <row r="575" spans="1:24" ht="14">
      <c r="A575" s="233"/>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row>
    <row r="576" spans="1:24" ht="14">
      <c r="A576" s="233"/>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row>
    <row r="577" spans="1:24" ht="14">
      <c r="A577" s="233"/>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row>
    <row r="578" spans="1:24" ht="14">
      <c r="A578" s="233"/>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row>
    <row r="579" spans="1:24" ht="14">
      <c r="A579" s="233"/>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row>
    <row r="580" spans="1:24" ht="14">
      <c r="A580" s="233"/>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row>
    <row r="581" spans="1:24" ht="14">
      <c r="A581" s="233"/>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row>
    <row r="582" spans="1:24" ht="14">
      <c r="A582" s="233"/>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row>
    <row r="583" spans="1:24" ht="14">
      <c r="A583" s="233"/>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row>
    <row r="584" spans="1:24" ht="14">
      <c r="A584" s="233"/>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row>
    <row r="585" spans="1:24" ht="14">
      <c r="A585" s="233"/>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row>
    <row r="586" spans="1:24" ht="14">
      <c r="A586" s="233"/>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row>
    <row r="587" spans="1:24" ht="14">
      <c r="A587" s="233"/>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row>
    <row r="588" spans="1:24" ht="14">
      <c r="A588" s="233"/>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row>
    <row r="589" spans="1:24" ht="14">
      <c r="A589" s="233"/>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row>
    <row r="590" spans="1:24" ht="14">
      <c r="A590" s="233"/>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row>
    <row r="591" spans="1:24" ht="14">
      <c r="A591" s="233"/>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row>
    <row r="592" spans="1:24" ht="14">
      <c r="A592" s="233"/>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row>
    <row r="593" spans="1:24" ht="14">
      <c r="A593" s="233"/>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row>
    <row r="594" spans="1:24" ht="14">
      <c r="A594" s="233"/>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row>
    <row r="595" spans="1:24" ht="14">
      <c r="A595" s="233"/>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row>
    <row r="596" spans="1:24" ht="14">
      <c r="A596" s="233"/>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row>
    <row r="597" spans="1:24" ht="14">
      <c r="A597" s="233"/>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row>
    <row r="598" spans="1:24" ht="14">
      <c r="A598" s="233"/>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row>
    <row r="599" spans="1:24" ht="14">
      <c r="A599" s="233"/>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row>
    <row r="600" spans="1:24" ht="14">
      <c r="A600" s="233"/>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row>
    <row r="601" spans="1:24" ht="14">
      <c r="A601" s="233"/>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row>
    <row r="602" spans="1:24" ht="14">
      <c r="A602" s="233"/>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row>
    <row r="603" spans="1:24" ht="14">
      <c r="A603" s="233"/>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row>
    <row r="604" spans="1:24" ht="14">
      <c r="A604" s="233"/>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row>
    <row r="605" spans="1:24" ht="14">
      <c r="A605" s="233"/>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row>
    <row r="606" spans="1:24" ht="14">
      <c r="A606" s="233"/>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row>
    <row r="607" spans="1:24" ht="14">
      <c r="A607" s="233"/>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row>
    <row r="608" spans="1:24" ht="14">
      <c r="A608" s="233"/>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row>
    <row r="609" spans="1:24" ht="14">
      <c r="A609" s="233"/>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row>
    <row r="610" spans="1:24" ht="14">
      <c r="A610" s="233"/>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row>
    <row r="611" spans="1:24" ht="14">
      <c r="A611" s="233"/>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row>
    <row r="612" spans="1:24" ht="14">
      <c r="A612" s="233"/>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row>
    <row r="613" spans="1:24" ht="14">
      <c r="A613" s="233"/>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row>
    <row r="614" spans="1:24" ht="14">
      <c r="A614" s="233"/>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row>
    <row r="615" spans="1:24" ht="14">
      <c r="A615" s="233"/>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row>
    <row r="616" spans="1:24" ht="14">
      <c r="A616" s="233"/>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row>
    <row r="617" spans="1:24" ht="14">
      <c r="A617" s="233"/>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row>
    <row r="618" spans="1:24" ht="14">
      <c r="A618" s="233"/>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row>
    <row r="619" spans="1:24" ht="14">
      <c r="A619" s="233"/>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row>
    <row r="620" spans="1:24" ht="14">
      <c r="A620" s="233"/>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row>
    <row r="621" spans="1:24" ht="14">
      <c r="A621" s="233"/>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row>
    <row r="622" spans="1:24" ht="14">
      <c r="A622" s="233"/>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row>
    <row r="623" spans="1:24" ht="14">
      <c r="A623" s="233"/>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row>
    <row r="624" spans="1:24" ht="14">
      <c r="A624" s="233"/>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row>
    <row r="625" spans="1:24" ht="14">
      <c r="A625" s="233"/>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row>
    <row r="626" spans="1:24" ht="14">
      <c r="A626" s="233"/>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row>
    <row r="627" spans="1:24" ht="14">
      <c r="A627" s="233"/>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row>
    <row r="628" spans="1:24" ht="14">
      <c r="A628" s="233"/>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row>
    <row r="629" spans="1:24" ht="14">
      <c r="A629" s="233"/>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row>
    <row r="630" spans="1:24" ht="14">
      <c r="A630" s="233"/>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row>
    <row r="631" spans="1:24" ht="14">
      <c r="A631" s="233"/>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row>
    <row r="632" spans="1:24" ht="14">
      <c r="A632" s="233"/>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row>
    <row r="633" spans="1:24" ht="14">
      <c r="A633" s="233"/>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row>
    <row r="634" spans="1:24" ht="14">
      <c r="A634" s="233"/>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row>
    <row r="635" spans="1:24" ht="14">
      <c r="A635" s="233"/>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row>
    <row r="636" spans="1:24" ht="14">
      <c r="A636" s="233"/>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row>
    <row r="637" spans="1:24" ht="14">
      <c r="A637" s="233"/>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row>
    <row r="638" spans="1:24" ht="14">
      <c r="A638" s="233"/>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row>
    <row r="639" spans="1:24" ht="14">
      <c r="A639" s="233"/>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row>
    <row r="640" spans="1:24" ht="14">
      <c r="A640" s="233"/>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row>
    <row r="641" spans="1:24" ht="14">
      <c r="A641" s="233"/>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row>
    <row r="642" spans="1:24" ht="14">
      <c r="A642" s="233"/>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row>
    <row r="643" spans="1:24" ht="14">
      <c r="A643" s="233"/>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row>
    <row r="644" spans="1:24" ht="14">
      <c r="A644" s="233"/>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row>
    <row r="645" spans="1:24" ht="14">
      <c r="A645" s="233"/>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row>
    <row r="646" spans="1:24" ht="14">
      <c r="A646" s="233"/>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row>
    <row r="647" spans="1:24" ht="14">
      <c r="A647" s="233"/>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row>
    <row r="648" spans="1:24" ht="14">
      <c r="A648" s="233"/>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row>
    <row r="649" spans="1:24" ht="14">
      <c r="A649" s="233"/>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row>
    <row r="650" spans="1:24" ht="14">
      <c r="A650" s="233"/>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row>
    <row r="651" spans="1:24" ht="14">
      <c r="A651" s="233"/>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row>
    <row r="652" spans="1:24" ht="14">
      <c r="A652" s="233"/>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row>
    <row r="653" spans="1:24" ht="14">
      <c r="A653" s="233"/>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row>
    <row r="654" spans="1:24" ht="14">
      <c r="A654" s="233"/>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row>
    <row r="655" spans="1:24" ht="14">
      <c r="A655" s="233"/>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row>
    <row r="656" spans="1:24" ht="14">
      <c r="A656" s="233"/>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row>
    <row r="657" spans="1:24" ht="14">
      <c r="A657" s="233"/>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row>
    <row r="658" spans="1:24" ht="14">
      <c r="A658" s="233"/>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row>
    <row r="659" spans="1:24" ht="14">
      <c r="A659" s="233"/>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row>
    <row r="660" spans="1:24" ht="14">
      <c r="A660" s="233"/>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row>
    <row r="661" spans="1:24" ht="14">
      <c r="A661" s="233"/>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row>
    <row r="662" spans="1:24" ht="14">
      <c r="A662" s="233"/>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row>
    <row r="663" spans="1:24" ht="14">
      <c r="A663" s="233"/>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row>
    <row r="664" spans="1:24" ht="14">
      <c r="A664" s="233"/>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row>
    <row r="665" spans="1:24" ht="14">
      <c r="A665" s="233"/>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row>
    <row r="666" spans="1:24" ht="14">
      <c r="A666" s="233"/>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row>
    <row r="667" spans="1:24" ht="14">
      <c r="A667" s="233"/>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row>
    <row r="668" spans="1:24" ht="14">
      <c r="A668" s="233"/>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row>
    <row r="669" spans="1:24" ht="14">
      <c r="A669" s="233"/>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row>
    <row r="670" spans="1:24" ht="14">
      <c r="A670" s="233"/>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row>
    <row r="671" spans="1:24" ht="14">
      <c r="A671" s="233"/>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row>
    <row r="672" spans="1:24" ht="14">
      <c r="A672" s="233"/>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row>
    <row r="673" spans="1:24" ht="14">
      <c r="A673" s="233"/>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row>
    <row r="674" spans="1:24" ht="14">
      <c r="A674" s="233"/>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row>
    <row r="675" spans="1:24" ht="14">
      <c r="A675" s="233"/>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row>
    <row r="676" spans="1:24" ht="14">
      <c r="A676" s="233"/>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row>
    <row r="677" spans="1:24" ht="14">
      <c r="A677" s="233"/>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row>
    <row r="678" spans="1:24" ht="14">
      <c r="A678" s="233"/>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row>
    <row r="679" spans="1:24" ht="14">
      <c r="A679" s="233"/>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row>
    <row r="680" spans="1:24" ht="14">
      <c r="A680" s="233"/>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row>
    <row r="681" spans="1:24" ht="14">
      <c r="A681" s="233"/>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row>
    <row r="682" spans="1:24" ht="14">
      <c r="A682" s="233"/>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row>
    <row r="683" spans="1:24" ht="14">
      <c r="A683" s="233"/>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row>
    <row r="684" spans="1:24" ht="14">
      <c r="A684" s="233"/>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row>
    <row r="685" spans="1:24" ht="14">
      <c r="A685" s="233"/>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row>
    <row r="686" spans="1:24" ht="14">
      <c r="A686" s="233"/>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row>
    <row r="687" spans="1:24" ht="14">
      <c r="A687" s="233"/>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row>
    <row r="688" spans="1:24" ht="14">
      <c r="A688" s="233"/>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row>
    <row r="689" spans="1:24" ht="14">
      <c r="A689" s="233"/>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row>
    <row r="690" spans="1:24" ht="14">
      <c r="A690" s="233"/>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row>
    <row r="691" spans="1:24" ht="14">
      <c r="A691" s="233"/>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row>
    <row r="692" spans="1:24" ht="14">
      <c r="A692" s="233"/>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row>
    <row r="693" spans="1:24" ht="14">
      <c r="A693" s="233"/>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row>
    <row r="694" spans="1:24" ht="14">
      <c r="A694" s="233"/>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row>
    <row r="695" spans="1:24" ht="14">
      <c r="A695" s="233"/>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row>
    <row r="696" spans="1:24" ht="14">
      <c r="A696" s="233"/>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row>
    <row r="697" spans="1:24" ht="14">
      <c r="A697" s="233"/>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row>
    <row r="698" spans="1:24" ht="14">
      <c r="A698" s="233"/>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row>
    <row r="699" spans="1:24" ht="14">
      <c r="A699" s="233"/>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row>
    <row r="700" spans="1:24" ht="14">
      <c r="A700" s="233"/>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row>
    <row r="701" spans="1:24" ht="14">
      <c r="A701" s="233"/>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row>
    <row r="702" spans="1:24" ht="14">
      <c r="A702" s="233"/>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row>
    <row r="703" spans="1:24" ht="14">
      <c r="A703" s="233"/>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row>
    <row r="704" spans="1:24" ht="14">
      <c r="A704" s="233"/>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row>
    <row r="705" spans="1:24" ht="14">
      <c r="A705" s="233"/>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row>
    <row r="706" spans="1:24" ht="14">
      <c r="A706" s="233"/>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row>
    <row r="707" spans="1:24" ht="14">
      <c r="A707" s="233"/>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row>
    <row r="708" spans="1:24" ht="14">
      <c r="A708" s="233"/>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row>
    <row r="709" spans="1:24" ht="14">
      <c r="A709" s="233"/>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row>
    <row r="710" spans="1:24" ht="14">
      <c r="A710" s="233"/>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row>
    <row r="711" spans="1:24" ht="14">
      <c r="A711" s="233"/>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row>
    <row r="712" spans="1:24" ht="14">
      <c r="A712" s="233"/>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row>
    <row r="713" spans="1:24" ht="14">
      <c r="A713" s="233"/>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row>
    <row r="714" spans="1:24" ht="14">
      <c r="A714" s="233"/>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row>
    <row r="715" spans="1:24" ht="14">
      <c r="A715" s="233"/>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row>
    <row r="716" spans="1:24" ht="14">
      <c r="A716" s="233"/>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row>
    <row r="717" spans="1:24" ht="14">
      <c r="A717" s="233"/>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row>
    <row r="718" spans="1:24" ht="14">
      <c r="A718" s="233"/>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row>
    <row r="719" spans="1:24" ht="14">
      <c r="A719" s="233"/>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row>
    <row r="720" spans="1:24" ht="14">
      <c r="A720" s="233"/>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row>
    <row r="721" spans="1:24" ht="14">
      <c r="A721" s="233"/>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row>
    <row r="722" spans="1:24" ht="14">
      <c r="A722" s="233"/>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row>
    <row r="723" spans="1:24" ht="14">
      <c r="A723" s="233"/>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row>
    <row r="724" spans="1:24" ht="14">
      <c r="A724" s="233"/>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row>
    <row r="725" spans="1:24" ht="14">
      <c r="A725" s="233"/>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row>
    <row r="726" spans="1:24" ht="14">
      <c r="A726" s="233"/>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row>
    <row r="727" spans="1:24" ht="14">
      <c r="A727" s="233"/>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row>
    <row r="728" spans="1:24" ht="14">
      <c r="A728" s="233"/>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row>
    <row r="729" spans="1:24" ht="14">
      <c r="A729" s="233"/>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row>
    <row r="730" spans="1:24" ht="14">
      <c r="A730" s="233"/>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row>
    <row r="731" spans="1:24" ht="14">
      <c r="A731" s="233"/>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row>
    <row r="732" spans="1:24" ht="14">
      <c r="A732" s="233"/>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row>
    <row r="733" spans="1:24" ht="14">
      <c r="A733" s="233"/>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row>
    <row r="734" spans="1:24" ht="14">
      <c r="A734" s="233"/>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row>
    <row r="735" spans="1:24" ht="14">
      <c r="A735" s="233"/>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row>
    <row r="736" spans="1:24" ht="14">
      <c r="A736" s="233"/>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row>
    <row r="737" spans="1:24" ht="14">
      <c r="A737" s="233"/>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row>
    <row r="738" spans="1:24" ht="14">
      <c r="A738" s="233"/>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row>
    <row r="739" spans="1:24" ht="14">
      <c r="A739" s="233"/>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row>
    <row r="740" spans="1:24" ht="14">
      <c r="A740" s="233"/>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row>
    <row r="741" spans="1:24" ht="14">
      <c r="A741" s="233"/>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row>
    <row r="742" spans="1:24" ht="14">
      <c r="A742" s="233"/>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row>
    <row r="743" spans="1:24" ht="14">
      <c r="A743" s="233"/>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row>
    <row r="744" spans="1:24" ht="14">
      <c r="A744" s="233"/>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row>
    <row r="745" spans="1:24" ht="14">
      <c r="A745" s="233"/>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row>
    <row r="746" spans="1:24" ht="14">
      <c r="A746" s="233"/>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row>
    <row r="747" spans="1:24" ht="14">
      <c r="A747" s="233"/>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row>
    <row r="748" spans="1:24" ht="14">
      <c r="A748" s="233"/>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row>
    <row r="749" spans="1:24" ht="14">
      <c r="A749" s="233"/>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row>
    <row r="750" spans="1:24" ht="14">
      <c r="A750" s="233"/>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row>
    <row r="751" spans="1:24" ht="14">
      <c r="A751" s="233"/>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row>
    <row r="752" spans="1:24" ht="14">
      <c r="A752" s="233"/>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row>
    <row r="753" spans="1:24" ht="14">
      <c r="A753" s="233"/>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row>
    <row r="754" spans="1:24" ht="14">
      <c r="A754" s="233"/>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row>
    <row r="755" spans="1:24" ht="14">
      <c r="A755" s="233"/>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row>
    <row r="756" spans="1:24" ht="14">
      <c r="A756" s="233"/>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row>
    <row r="757" spans="1:24" ht="14">
      <c r="A757" s="233"/>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row>
    <row r="758" spans="1:24" ht="14">
      <c r="A758" s="233"/>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row>
    <row r="759" spans="1:24" ht="14">
      <c r="A759" s="233"/>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row>
    <row r="760" spans="1:24" ht="14">
      <c r="A760" s="233"/>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row>
    <row r="761" spans="1:24" ht="14">
      <c r="A761" s="233"/>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row>
    <row r="762" spans="1:24" ht="14">
      <c r="A762" s="233"/>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row>
    <row r="763" spans="1:24" ht="14">
      <c r="A763" s="233"/>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row>
    <row r="764" spans="1:24" ht="14">
      <c r="A764" s="233"/>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row>
    <row r="765" spans="1:24" ht="14">
      <c r="A765" s="233"/>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row>
    <row r="766" spans="1:24" ht="14">
      <c r="A766" s="233"/>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row>
    <row r="767" spans="1:24" ht="14">
      <c r="A767" s="233"/>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row>
    <row r="768" spans="1:24" ht="14">
      <c r="A768" s="233"/>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row>
    <row r="769" spans="1:24" ht="14">
      <c r="A769" s="233"/>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row>
    <row r="770" spans="1:24" ht="14">
      <c r="A770" s="233"/>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row>
    <row r="771" spans="1:24" ht="14">
      <c r="A771" s="233"/>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row>
    <row r="772" spans="1:24" ht="14">
      <c r="A772" s="233"/>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row>
    <row r="773" spans="1:24" ht="14">
      <c r="A773" s="233"/>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row>
    <row r="774" spans="1:24" ht="14">
      <c r="A774" s="233"/>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row>
    <row r="775" spans="1:24" ht="14">
      <c r="A775" s="233"/>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row>
    <row r="776" spans="1:24" ht="14">
      <c r="A776" s="233"/>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row>
    <row r="777" spans="1:24" ht="14">
      <c r="A777" s="233"/>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row>
    <row r="778" spans="1:24" ht="14">
      <c r="A778" s="233"/>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row>
    <row r="779" spans="1:24" ht="14">
      <c r="A779" s="233"/>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row>
    <row r="780" spans="1:24" ht="14">
      <c r="A780" s="233"/>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row>
    <row r="781" spans="1:24" ht="14">
      <c r="A781" s="233"/>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row>
    <row r="782" spans="1:24" ht="14">
      <c r="A782" s="233"/>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row>
    <row r="783" spans="1:24" ht="14">
      <c r="A783" s="233"/>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row>
    <row r="784" spans="1:24" ht="14">
      <c r="A784" s="233"/>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row>
    <row r="785" spans="1:24" ht="14">
      <c r="A785" s="233"/>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row>
    <row r="786" spans="1:24" ht="14">
      <c r="A786" s="233"/>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row>
    <row r="787" spans="1:24" ht="14">
      <c r="A787" s="233"/>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row>
    <row r="788" spans="1:24" ht="14">
      <c r="A788" s="233"/>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row>
    <row r="789" spans="1:24" ht="14">
      <c r="A789" s="233"/>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row>
    <row r="790" spans="1:24" ht="14">
      <c r="A790" s="233"/>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row>
    <row r="791" spans="1:24" ht="14">
      <c r="A791" s="233"/>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row>
    <row r="792" spans="1:24" ht="14">
      <c r="A792" s="233"/>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row>
    <row r="793" spans="1:24" ht="14">
      <c r="A793" s="233"/>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row>
    <row r="794" spans="1:24" ht="14">
      <c r="A794" s="233"/>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row>
    <row r="795" spans="1:24" ht="14">
      <c r="A795" s="233"/>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row>
    <row r="796" spans="1:24" ht="14">
      <c r="A796" s="233"/>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row>
    <row r="797" spans="1:24" ht="14">
      <c r="A797" s="233"/>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row>
    <row r="798" spans="1:24" ht="14">
      <c r="A798" s="233"/>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row>
    <row r="799" spans="1:24" ht="14">
      <c r="A799" s="233"/>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row>
    <row r="800" spans="1:24" ht="14">
      <c r="A800" s="233"/>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row>
    <row r="801" spans="1:24" ht="14">
      <c r="A801" s="233"/>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row>
    <row r="802" spans="1:24" ht="14">
      <c r="A802" s="233"/>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row>
    <row r="803" spans="1:24" ht="14">
      <c r="A803" s="233"/>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row>
    <row r="804" spans="1:24" ht="14">
      <c r="A804" s="233"/>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row>
    <row r="805" spans="1:24" ht="14">
      <c r="A805" s="233"/>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row>
    <row r="806" spans="1:24" ht="14">
      <c r="A806" s="233"/>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row>
    <row r="807" spans="1:24" ht="14">
      <c r="A807" s="233"/>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row>
    <row r="808" spans="1:24" ht="14">
      <c r="A808" s="233"/>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row>
    <row r="809" spans="1:24" ht="14">
      <c r="A809" s="233"/>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row>
    <row r="810" spans="1:24" ht="14">
      <c r="A810" s="233"/>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row>
    <row r="811" spans="1:24" ht="14">
      <c r="A811" s="233"/>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row>
    <row r="812" spans="1:24" ht="14">
      <c r="A812" s="233"/>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row>
    <row r="813" spans="1:24" ht="14">
      <c r="A813" s="233"/>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row>
    <row r="814" spans="1:24" ht="14">
      <c r="A814" s="233"/>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row>
    <row r="815" spans="1:24" ht="14">
      <c r="A815" s="233"/>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row>
    <row r="816" spans="1:24" ht="14">
      <c r="A816" s="233"/>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row>
    <row r="817" spans="1:24" ht="14">
      <c r="A817" s="233"/>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row>
    <row r="818" spans="1:24" ht="14">
      <c r="A818" s="233"/>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row>
    <row r="819" spans="1:24" ht="14">
      <c r="A819" s="233"/>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row>
    <row r="820" spans="1:24" ht="14">
      <c r="A820" s="233"/>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row>
    <row r="821" spans="1:24" ht="14">
      <c r="A821" s="233"/>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row>
    <row r="822" spans="1:24" ht="14">
      <c r="A822" s="233"/>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row>
    <row r="823" spans="1:24" ht="14">
      <c r="A823" s="233"/>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row>
    <row r="824" spans="1:24" ht="14">
      <c r="A824" s="233"/>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row>
    <row r="825" spans="1:24" ht="14">
      <c r="A825" s="233"/>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row>
    <row r="826" spans="1:24" ht="14">
      <c r="A826" s="233"/>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row>
    <row r="827" spans="1:24" ht="14">
      <c r="A827" s="233"/>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row>
    <row r="828" spans="1:24" ht="14">
      <c r="A828" s="233"/>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row>
    <row r="829" spans="1:24" ht="14">
      <c r="A829" s="233"/>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row>
    <row r="830" spans="1:24" ht="14">
      <c r="A830" s="233"/>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row>
    <row r="831" spans="1:24" ht="14">
      <c r="A831" s="233"/>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row>
    <row r="832" spans="1:24" ht="14">
      <c r="A832" s="233"/>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row>
    <row r="833" spans="1:24" ht="14">
      <c r="A833" s="233"/>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row>
    <row r="834" spans="1:24" ht="14">
      <c r="A834" s="233"/>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row>
    <row r="835" spans="1:24" ht="14">
      <c r="A835" s="233"/>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row>
    <row r="836" spans="1:24" ht="14">
      <c r="A836" s="233"/>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row>
    <row r="837" spans="1:24" ht="14">
      <c r="A837" s="233"/>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row>
    <row r="838" spans="1:24" ht="14">
      <c r="A838" s="233"/>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row>
    <row r="839" spans="1:24" ht="14">
      <c r="A839" s="233"/>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row>
    <row r="840" spans="1:24" ht="14">
      <c r="A840" s="233"/>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row>
    <row r="841" spans="1:24" ht="14">
      <c r="A841" s="233"/>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row>
    <row r="842" spans="1:24" ht="14">
      <c r="A842" s="233"/>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row>
    <row r="843" spans="1:24" ht="14">
      <c r="A843" s="233"/>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row>
    <row r="844" spans="1:24" ht="14">
      <c r="A844" s="233"/>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row>
    <row r="845" spans="1:24" ht="14">
      <c r="A845" s="233"/>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row>
    <row r="846" spans="1:24" ht="14">
      <c r="A846" s="233"/>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row>
    <row r="847" spans="1:24" ht="14">
      <c r="A847" s="233"/>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row>
    <row r="848" spans="1:24" ht="14">
      <c r="A848" s="233"/>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row>
    <row r="849" spans="1:24" ht="14">
      <c r="A849" s="233"/>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row>
    <row r="850" spans="1:24" ht="14">
      <c r="A850" s="233"/>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row>
    <row r="851" spans="1:24" ht="14">
      <c r="A851" s="233"/>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row>
    <row r="852" spans="1:24" ht="14">
      <c r="A852" s="233"/>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row>
    <row r="853" spans="1:24" ht="14">
      <c r="A853" s="233"/>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row>
    <row r="854" spans="1:24" ht="14">
      <c r="A854" s="233"/>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row>
    <row r="855" spans="1:24" ht="14">
      <c r="A855" s="233"/>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row>
    <row r="856" spans="1:24" ht="14">
      <c r="A856" s="233"/>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row>
    <row r="857" spans="1:24" ht="14">
      <c r="A857" s="233"/>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row>
    <row r="858" spans="1:24" ht="14">
      <c r="A858" s="233"/>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row>
    <row r="859" spans="1:24" ht="14">
      <c r="A859" s="233"/>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row>
    <row r="860" spans="1:24" ht="14">
      <c r="A860" s="233"/>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row>
    <row r="861" spans="1:24" ht="14">
      <c r="A861" s="233"/>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row>
    <row r="862" spans="1:24" ht="14">
      <c r="A862" s="233"/>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row>
    <row r="863" spans="1:24" ht="14">
      <c r="A863" s="233"/>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row>
    <row r="864" spans="1:24" ht="14">
      <c r="A864" s="233"/>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row>
    <row r="865" spans="1:24" ht="14">
      <c r="A865" s="233"/>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row>
    <row r="866" spans="1:24" ht="14">
      <c r="A866" s="233"/>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row>
    <row r="867" spans="1:24" ht="14">
      <c r="A867" s="233"/>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row>
    <row r="868" spans="1:24" ht="14">
      <c r="A868" s="233"/>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row>
    <row r="869" spans="1:24" ht="14">
      <c r="A869" s="233"/>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row>
    <row r="870" spans="1:24" ht="14">
      <c r="A870" s="233"/>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row>
    <row r="871" spans="1:24" ht="14">
      <c r="A871" s="233"/>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row>
    <row r="872" spans="1:24" ht="14">
      <c r="A872" s="233"/>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row>
    <row r="873" spans="1:24" ht="14">
      <c r="A873" s="233"/>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row>
    <row r="874" spans="1:24" ht="14">
      <c r="A874" s="233"/>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row>
    <row r="875" spans="1:24" ht="14">
      <c r="A875" s="233"/>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row>
    <row r="876" spans="1:24" ht="14">
      <c r="A876" s="233"/>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row>
    <row r="877" spans="1:24" ht="14">
      <c r="A877" s="233"/>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row>
    <row r="878" spans="1:24" ht="14">
      <c r="A878" s="233"/>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row>
    <row r="879" spans="1:24" ht="14">
      <c r="A879" s="233"/>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row>
    <row r="880" spans="1:24" ht="14">
      <c r="A880" s="233"/>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row>
    <row r="881" spans="1:24" ht="14">
      <c r="A881" s="233"/>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row>
    <row r="882" spans="1:24" ht="14">
      <c r="A882" s="233"/>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row>
    <row r="883" spans="1:24" ht="14">
      <c r="A883" s="233"/>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row>
    <row r="884" spans="1:24" ht="14">
      <c r="A884" s="233"/>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row>
    <row r="885" spans="1:24" ht="14">
      <c r="A885" s="233"/>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row>
    <row r="886" spans="1:24" ht="14">
      <c r="A886" s="233"/>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row>
    <row r="887" spans="1:24" ht="14">
      <c r="A887" s="233"/>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row>
    <row r="888" spans="1:24" ht="14">
      <c r="A888" s="233"/>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row>
    <row r="889" spans="1:24" ht="14">
      <c r="A889" s="233"/>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row>
    <row r="890" spans="1:24" ht="14">
      <c r="A890" s="233"/>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row>
    <row r="891" spans="1:24" ht="14">
      <c r="A891" s="233"/>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row>
    <row r="892" spans="1:24" ht="14">
      <c r="A892" s="233"/>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row>
    <row r="893" spans="1:24" ht="14">
      <c r="A893" s="233"/>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row>
    <row r="894" spans="1:24" ht="14">
      <c r="A894" s="233"/>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row>
    <row r="895" spans="1:24" ht="14">
      <c r="A895" s="233"/>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row>
    <row r="896" spans="1:24" ht="14">
      <c r="A896" s="233"/>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row>
    <row r="897" spans="1:24" ht="14">
      <c r="A897" s="233"/>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row>
    <row r="898" spans="1:24" ht="14">
      <c r="A898" s="233"/>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row>
    <row r="899" spans="1:24" ht="14">
      <c r="A899" s="233"/>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row>
    <row r="900" spans="1:24" ht="14">
      <c r="A900" s="233"/>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row>
    <row r="901" spans="1:24" ht="14">
      <c r="A901" s="233"/>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row>
    <row r="902" spans="1:24" ht="14">
      <c r="A902" s="233"/>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row>
    <row r="903" spans="1:24" ht="14">
      <c r="A903" s="233"/>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row>
    <row r="904" spans="1:24" ht="14">
      <c r="A904" s="233"/>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row>
    <row r="905" spans="1:24" ht="14">
      <c r="A905" s="233"/>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row>
    <row r="906" spans="1:24" ht="14">
      <c r="A906" s="233"/>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row>
    <row r="907" spans="1:24" ht="14">
      <c r="A907" s="233"/>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row>
    <row r="908" spans="1:24" ht="14">
      <c r="A908" s="233"/>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row>
    <row r="909" spans="1:24" ht="14">
      <c r="A909" s="233"/>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row>
    <row r="910" spans="1:24" ht="14">
      <c r="A910" s="233"/>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row>
    <row r="911" spans="1:24" ht="14">
      <c r="A911" s="233"/>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row>
    <row r="912" spans="1:24" ht="14">
      <c r="A912" s="233"/>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row>
    <row r="913" spans="1:24" ht="14">
      <c r="A913" s="233"/>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row>
    <row r="914" spans="1:24" ht="14">
      <c r="A914" s="233"/>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row>
    <row r="915" spans="1:24" ht="14">
      <c r="A915" s="233"/>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row>
    <row r="916" spans="1:24" ht="14">
      <c r="A916" s="233"/>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row>
    <row r="917" spans="1:24" ht="14">
      <c r="A917" s="233"/>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row>
    <row r="918" spans="1:24" ht="14">
      <c r="A918" s="233"/>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row>
    <row r="919" spans="1:24" ht="14">
      <c r="A919" s="233"/>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row>
    <row r="920" spans="1:24" ht="14">
      <c r="A920" s="233"/>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row>
    <row r="921" spans="1:24" ht="14">
      <c r="A921" s="233"/>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row>
    <row r="922" spans="1:24" ht="14">
      <c r="A922" s="233"/>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row>
    <row r="923" spans="1:24" ht="14">
      <c r="A923" s="233"/>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row>
    <row r="924" spans="1:24" ht="14">
      <c r="A924" s="233"/>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row>
    <row r="925" spans="1:24" ht="14">
      <c r="A925" s="233"/>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row>
    <row r="926" spans="1:24" ht="14">
      <c r="A926" s="233"/>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row>
    <row r="927" spans="1:24" ht="14">
      <c r="A927" s="233"/>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row>
    <row r="928" spans="1:24" ht="14">
      <c r="A928" s="233"/>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row>
    <row r="929" spans="1:24" ht="14">
      <c r="A929" s="233"/>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row>
    <row r="930" spans="1:24" ht="14">
      <c r="A930" s="233"/>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row>
    <row r="931" spans="1:24" ht="14">
      <c r="A931" s="233"/>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row>
    <row r="932" spans="1:24" ht="14">
      <c r="A932" s="233"/>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row>
    <row r="933" spans="1:24" ht="14">
      <c r="A933" s="233"/>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row>
    <row r="934" spans="1:24" ht="14">
      <c r="A934" s="233"/>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row>
    <row r="935" spans="1:24" ht="14">
      <c r="A935" s="233"/>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row>
    <row r="936" spans="1:24" ht="14">
      <c r="A936" s="233"/>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row>
    <row r="937" spans="1:24" ht="14">
      <c r="A937" s="233"/>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row>
    <row r="938" spans="1:24" ht="14">
      <c r="A938" s="233"/>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row>
    <row r="939" spans="1:24" ht="14">
      <c r="A939" s="233"/>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row>
    <row r="940" spans="1:24" ht="14">
      <c r="A940" s="233"/>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row>
    <row r="941" spans="1:24" ht="14">
      <c r="A941" s="233"/>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row>
    <row r="942" spans="1:24" ht="14">
      <c r="A942" s="233"/>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row>
    <row r="943" spans="1:24" ht="14">
      <c r="A943" s="233"/>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row>
    <row r="944" spans="1:24" ht="14">
      <c r="A944" s="233"/>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row>
    <row r="945" spans="1:24" ht="14">
      <c r="A945" s="233"/>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row>
    <row r="946" spans="1:24" ht="14">
      <c r="A946" s="233"/>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row>
    <row r="947" spans="1:24" ht="14">
      <c r="A947" s="233"/>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row>
    <row r="948" spans="1:24" ht="14">
      <c r="A948" s="233"/>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row>
    <row r="949" spans="1:24" ht="14">
      <c r="A949" s="233"/>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row>
    <row r="950" spans="1:24" ht="14">
      <c r="A950" s="233"/>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row>
    <row r="951" spans="1:24" ht="14">
      <c r="A951" s="233"/>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row>
    <row r="952" spans="1:24" ht="14">
      <c r="A952" s="233"/>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row>
    <row r="953" spans="1:24" ht="14">
      <c r="A953" s="233"/>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row>
    <row r="954" spans="1:24" ht="14">
      <c r="A954" s="233"/>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row>
    <row r="955" spans="1:24" ht="14">
      <c r="A955" s="233"/>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row>
    <row r="956" spans="1:24" ht="14">
      <c r="A956" s="233"/>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row>
    <row r="957" spans="1:24" ht="14">
      <c r="A957" s="233"/>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row>
    <row r="958" spans="1:24" ht="14">
      <c r="A958" s="233"/>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row>
    <row r="959" spans="1:24" ht="14">
      <c r="A959" s="233"/>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row>
    <row r="960" spans="1:24" ht="14">
      <c r="A960" s="233"/>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row>
    <row r="961" spans="1:24" ht="14">
      <c r="A961" s="233"/>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row>
    <row r="962" spans="1:24" ht="14">
      <c r="A962" s="233"/>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row>
    <row r="963" spans="1:24" ht="14">
      <c r="A963" s="233"/>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row>
  </sheetData>
  <protectedRanges>
    <protectedRange algorithmName="SHA-512" hashValue="j3XsBJ/4oW7THc1pniNLw8XRBsgESbQ857IwPu949UcSVPY96V3DWuZX1U2Ec93m6DuuFDc7tboDDTyMEKyTDQ==" saltValue="X+TUyFS1zuOqoTMBESWM/A==" spinCount="100000" sqref="U1:X1048576" name="Scoring_2_1"/>
    <protectedRange algorithmName="SHA-512" hashValue="hMq1DBbiST668jQyDIjIdbBnNW/u/dnbrQHZfHWR7uIKwZIiBO+5ViwdHPKc92t7W7d7IST1EqGe60eXCoNiBQ==" saltValue="NLiPFIp7sPxnbiXS647sLw==" spinCount="100000" sqref="C1:N1048576" name="CN_2_1"/>
    <protectedRange algorithmName="SHA-512" hashValue="VeZxzcLzQLMY74mwZ3DEb7CD93dWi64TdZtCudah6V3/NiExsNLX6eMmYvZ1d+Bvt41C3C+VTL2soEmQak61mw==" saltValue="v5uT1IpTW7cftqGrkR6zIQ==" spinCount="100000" sqref="A2:A995" name="ID_2_1"/>
  </protectedRanges>
  <phoneticPr fontId="2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7D4BE0-3281-4FD2-8021-4BAAF9014175}">
          <x14:formula1>
            <xm:f>'Auto Responses'!$J$27:$J$29</xm:f>
          </x14:formula1>
          <xm:sqref>K3:K334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A35" sqref="A35"/>
    </sheetView>
  </sheetViews>
  <sheetFormatPr baseColWidth="10" defaultColWidth="0" defaultRowHeight="15.75" customHeight="1" zeroHeight="1"/>
  <cols>
    <col min="1" max="1" width="52.75" style="11" customWidth="1"/>
    <col min="2" max="2" width="19.625" style="11" customWidth="1"/>
    <col min="3" max="3" width="2.625" style="244" customWidth="1"/>
    <col min="4" max="4" width="78.125" style="11" customWidth="1"/>
    <col min="5" max="5" width="2.625" style="246" customWidth="1"/>
    <col min="6" max="6" width="101.75" style="11" customWidth="1"/>
    <col min="7" max="7" width="2.625" style="246" customWidth="1"/>
    <col min="8" max="8" width="73" style="11" customWidth="1"/>
    <col min="9" max="9" width="2.625" style="246" customWidth="1"/>
    <col min="10" max="10" width="14.625" style="11" customWidth="1"/>
    <col min="11" max="11" width="2.625" style="246" customWidth="1"/>
    <col min="12" max="12" width="14.625" style="11" customWidth="1"/>
    <col min="13" max="13" width="2.625" style="246" customWidth="1"/>
    <col min="14" max="14" width="8.75" style="11" customWidth="1"/>
    <col min="15" max="15" width="40.125" style="11" bestFit="1" customWidth="1"/>
    <col min="16" max="17" width="8.75" style="11" customWidth="1"/>
    <col min="18" max="34" width="0" style="11" hidden="1" customWidth="1"/>
    <col min="35" max="16384" width="8.75" style="11" hidden="1"/>
  </cols>
  <sheetData>
    <row r="1" spans="1:34" ht="15.75" hidden="1" customHeight="1">
      <c r="A1" s="261" t="s">
        <v>1537</v>
      </c>
    </row>
    <row r="2" spans="1:34" ht="13">
      <c r="A2" s="13" t="s">
        <v>1523</v>
      </c>
      <c r="B2" s="13" t="s">
        <v>902</v>
      </c>
      <c r="C2" s="243"/>
      <c r="D2" s="13" t="s">
        <v>921</v>
      </c>
      <c r="E2" s="245"/>
      <c r="F2" s="13" t="s">
        <v>995</v>
      </c>
      <c r="G2" s="245"/>
      <c r="H2" s="13" t="s">
        <v>1220</v>
      </c>
      <c r="I2" s="245"/>
      <c r="J2" s="99" t="s">
        <v>909</v>
      </c>
      <c r="K2" s="249"/>
      <c r="L2" s="99" t="s">
        <v>1224</v>
      </c>
      <c r="M2" s="249"/>
      <c r="N2" s="99" t="s">
        <v>1013</v>
      </c>
      <c r="P2" s="69"/>
      <c r="Q2" s="13"/>
      <c r="R2" s="13"/>
      <c r="S2" s="13"/>
      <c r="T2" s="13"/>
      <c r="U2" s="13"/>
      <c r="V2" s="13"/>
      <c r="W2" s="13"/>
      <c r="X2" s="13"/>
      <c r="Y2" s="13"/>
      <c r="Z2" s="13"/>
      <c r="AA2" s="13"/>
      <c r="AB2" s="13"/>
      <c r="AC2" s="13"/>
      <c r="AD2" s="13"/>
      <c r="AE2" s="13"/>
      <c r="AF2" s="13"/>
      <c r="AG2" s="13"/>
      <c r="AH2" s="13"/>
    </row>
    <row r="3" spans="1:34" ht="13">
      <c r="A3" s="12" t="s">
        <v>1574</v>
      </c>
      <c r="B3" s="12" t="s">
        <v>901</v>
      </c>
      <c r="D3" s="12" t="s">
        <v>876</v>
      </c>
      <c r="F3" s="12" t="s">
        <v>1218</v>
      </c>
      <c r="H3" s="223" t="s">
        <v>1091</v>
      </c>
      <c r="I3" s="247"/>
      <c r="J3" s="11" t="s">
        <v>40</v>
      </c>
      <c r="L3" s="11" t="s">
        <v>1006</v>
      </c>
      <c r="N3" s="100" t="s">
        <v>1011</v>
      </c>
      <c r="O3" s="100" t="s">
        <v>1012</v>
      </c>
      <c r="P3" s="101" t="s">
        <v>993</v>
      </c>
    </row>
    <row r="4" spans="1:34" ht="13">
      <c r="A4" s="12" t="s">
        <v>1575</v>
      </c>
      <c r="B4" s="12" t="s">
        <v>900</v>
      </c>
      <c r="D4" s="12" t="s">
        <v>1554</v>
      </c>
      <c r="F4" s="12" t="s">
        <v>928</v>
      </c>
      <c r="H4" s="12" t="s">
        <v>1092</v>
      </c>
      <c r="I4" s="248"/>
      <c r="J4" s="11" t="s">
        <v>149</v>
      </c>
      <c r="L4" s="11" t="s">
        <v>610</v>
      </c>
      <c r="N4" s="11" t="s">
        <v>930</v>
      </c>
      <c r="O4" s="11" t="s">
        <v>931</v>
      </c>
      <c r="P4" s="69">
        <f>COUNTIF('(backend scoring)'!$B:$B,'Auto Responses'!$N4)</f>
        <v>9</v>
      </c>
    </row>
    <row r="5" spans="1:34" ht="13">
      <c r="A5" s="12" t="s">
        <v>1576</v>
      </c>
      <c r="B5" s="12" t="s">
        <v>899</v>
      </c>
      <c r="D5" s="12" t="s">
        <v>1591</v>
      </c>
      <c r="F5" s="12" t="s">
        <v>1483</v>
      </c>
      <c r="H5" s="12" t="s">
        <v>1599</v>
      </c>
      <c r="I5" s="248"/>
      <c r="J5" s="11" t="s">
        <v>1614</v>
      </c>
      <c r="L5" s="11" t="s">
        <v>1007</v>
      </c>
      <c r="N5" s="11" t="s">
        <v>932</v>
      </c>
      <c r="O5" s="11" t="s">
        <v>933</v>
      </c>
      <c r="P5" s="69">
        <f>COUNTIF('(backend scoring)'!$B:$B,'Auto Responses'!$N5)</f>
        <v>5</v>
      </c>
    </row>
    <row r="6" spans="1:34" ht="13">
      <c r="A6" s="12" t="s">
        <v>1577</v>
      </c>
      <c r="B6" s="12" t="s">
        <v>898</v>
      </c>
      <c r="D6" s="12" t="s">
        <v>1607</v>
      </c>
      <c r="F6" s="12" t="s">
        <v>1486</v>
      </c>
      <c r="L6" s="11" t="s">
        <v>1008</v>
      </c>
      <c r="N6" s="11" t="s">
        <v>934</v>
      </c>
      <c r="O6" s="11" t="s">
        <v>935</v>
      </c>
      <c r="P6" s="69">
        <f>COUNTIF('(backend scoring)'!$B:$B,'Auto Responses'!$N6)</f>
        <v>8</v>
      </c>
    </row>
    <row r="7" spans="1:34" ht="13">
      <c r="A7" s="12" t="s">
        <v>1578</v>
      </c>
      <c r="B7" s="12" t="s">
        <v>897</v>
      </c>
      <c r="D7" s="12" t="s">
        <v>1487</v>
      </c>
      <c r="F7" s="12" t="s">
        <v>1219</v>
      </c>
      <c r="J7" s="11" t="s">
        <v>910</v>
      </c>
      <c r="L7" s="11" t="s">
        <v>1009</v>
      </c>
      <c r="N7" s="11" t="s">
        <v>936</v>
      </c>
      <c r="O7" s="11" t="s">
        <v>937</v>
      </c>
      <c r="P7" s="69">
        <f>COUNTIF('(backend scoring)'!$B:$B,'Auto Responses'!$N7)</f>
        <v>7</v>
      </c>
    </row>
    <row r="8" spans="1:34" ht="13">
      <c r="A8" s="12" t="s">
        <v>1579</v>
      </c>
      <c r="B8" s="12" t="s">
        <v>896</v>
      </c>
      <c r="D8" s="11" t="s">
        <v>1482</v>
      </c>
      <c r="F8" s="11" t="s">
        <v>1551</v>
      </c>
      <c r="J8" s="11" t="s">
        <v>911</v>
      </c>
      <c r="L8" s="11" t="s">
        <v>1010</v>
      </c>
      <c r="N8" s="11" t="s">
        <v>938</v>
      </c>
      <c r="O8" s="11" t="s">
        <v>939</v>
      </c>
      <c r="P8" s="69">
        <f>COUNTIF('(backend scoring)'!$B:$B,'Auto Responses'!$N8)</f>
        <v>18</v>
      </c>
    </row>
    <row r="9" spans="1:34" ht="13">
      <c r="A9" s="12" t="s">
        <v>1580</v>
      </c>
      <c r="B9" s="12" t="s">
        <v>895</v>
      </c>
      <c r="D9" s="11" t="s">
        <v>1552</v>
      </c>
      <c r="L9" s="11" t="s">
        <v>663</v>
      </c>
      <c r="N9" s="11" t="s">
        <v>940</v>
      </c>
      <c r="O9" s="11" t="s">
        <v>941</v>
      </c>
      <c r="P9" s="69">
        <f>COUNTIF('(backend scoring)'!$B:$B,'Auto Responses'!$N9)</f>
        <v>5</v>
      </c>
    </row>
    <row r="10" spans="1:34" ht="13">
      <c r="A10" s="12" t="s">
        <v>1581</v>
      </c>
      <c r="B10" s="12" t="s">
        <v>894</v>
      </c>
      <c r="N10" s="11" t="s">
        <v>942</v>
      </c>
      <c r="O10" s="11" t="s">
        <v>943</v>
      </c>
      <c r="P10" s="69">
        <f>COUNTIF('(backend scoring)'!$B:$B,'Auto Responses'!$N10)</f>
        <v>9</v>
      </c>
    </row>
    <row r="11" spans="1:34" ht="13">
      <c r="A11" s="12" t="s">
        <v>1582</v>
      </c>
      <c r="B11" s="12" t="s">
        <v>893</v>
      </c>
      <c r="J11" s="11" t="s">
        <v>46</v>
      </c>
      <c r="N11" s="11" t="s">
        <v>944</v>
      </c>
      <c r="O11" s="11" t="s">
        <v>945</v>
      </c>
      <c r="P11" s="69">
        <f>COUNTIF('(backend scoring)'!$B:$B,'Auto Responses'!$N11)</f>
        <v>14</v>
      </c>
    </row>
    <row r="12" spans="1:34" ht="13">
      <c r="A12" s="12" t="s">
        <v>1207</v>
      </c>
      <c r="B12" s="12" t="s">
        <v>892</v>
      </c>
      <c r="F12" s="12"/>
      <c r="J12" s="11" t="s">
        <v>75</v>
      </c>
      <c r="N12" s="11" t="s">
        <v>946</v>
      </c>
      <c r="O12" s="11" t="s">
        <v>1520</v>
      </c>
      <c r="P12" s="69">
        <f>COUNTIF('(backend scoring)'!$B:$B,'Auto Responses'!$N12)</f>
        <v>18</v>
      </c>
    </row>
    <row r="13" spans="1:34" ht="13">
      <c r="A13" s="12" t="s">
        <v>1208</v>
      </c>
      <c r="B13" s="12" t="s">
        <v>891</v>
      </c>
      <c r="F13" s="12"/>
      <c r="J13" s="11" t="s">
        <v>41</v>
      </c>
      <c r="N13" s="11" t="s">
        <v>947</v>
      </c>
      <c r="O13" s="11" t="s">
        <v>948</v>
      </c>
      <c r="P13" s="69">
        <f>COUNTIF('(backend scoring)'!$B:$B,'Auto Responses'!$N13)</f>
        <v>16</v>
      </c>
    </row>
    <row r="14" spans="1:34" ht="13">
      <c r="A14" s="12" t="s">
        <v>53</v>
      </c>
      <c r="B14" s="12" t="s">
        <v>890</v>
      </c>
      <c r="J14" s="11" t="s">
        <v>924</v>
      </c>
      <c r="N14" s="11" t="s">
        <v>949</v>
      </c>
      <c r="O14" s="11" t="s">
        <v>950</v>
      </c>
      <c r="P14" s="69">
        <f>COUNTIF('(backend scoring)'!$B:$B,'Auto Responses'!$N14)</f>
        <v>23</v>
      </c>
    </row>
    <row r="15" spans="1:34" ht="13">
      <c r="A15" s="12" t="s">
        <v>52</v>
      </c>
      <c r="B15" s="12" t="s">
        <v>889</v>
      </c>
      <c r="N15" s="11" t="s">
        <v>951</v>
      </c>
      <c r="O15" s="11" t="s">
        <v>952</v>
      </c>
      <c r="P15" s="69">
        <f>COUNTIF('(backend scoring)'!$B:$B,'Auto Responses'!$N15)</f>
        <v>16</v>
      </c>
    </row>
    <row r="16" spans="1:34" ht="13">
      <c r="A16" s="12" t="s">
        <v>1209</v>
      </c>
      <c r="B16" s="12" t="s">
        <v>888</v>
      </c>
      <c r="N16" s="11" t="s">
        <v>953</v>
      </c>
      <c r="O16" s="11" t="s">
        <v>1604</v>
      </c>
      <c r="P16" s="69">
        <f>COUNTIF('(backend scoring)'!$B:$B,'Auto Responses'!$N16)</f>
        <v>11</v>
      </c>
    </row>
    <row r="17" spans="1:20" ht="13">
      <c r="A17" s="12" t="s">
        <v>1210</v>
      </c>
      <c r="B17" s="12" t="s">
        <v>887</v>
      </c>
      <c r="J17" s="11" t="s">
        <v>1221</v>
      </c>
      <c r="N17" s="11" t="s">
        <v>954</v>
      </c>
      <c r="O17" s="11" t="s">
        <v>955</v>
      </c>
      <c r="P17" s="69">
        <f>COUNTIF('(backend scoring)'!$B:$B,'Auto Responses'!$N17)</f>
        <v>15</v>
      </c>
    </row>
    <row r="18" spans="1:20" ht="13">
      <c r="A18" s="12" t="s">
        <v>1211</v>
      </c>
      <c r="B18" s="12" t="s">
        <v>886</v>
      </c>
      <c r="J18" s="11" t="s">
        <v>1222</v>
      </c>
      <c r="N18" s="11" t="s">
        <v>956</v>
      </c>
      <c r="O18" s="11" t="s">
        <v>957</v>
      </c>
      <c r="P18" s="69">
        <f>COUNTIF('(backend scoring)'!$B:$B,'Auto Responses'!$N18)</f>
        <v>4</v>
      </c>
    </row>
    <row r="19" spans="1:20" ht="13">
      <c r="A19" s="12" t="s">
        <v>1212</v>
      </c>
      <c r="B19" s="12" t="s">
        <v>885</v>
      </c>
      <c r="J19" s="11" t="s">
        <v>1223</v>
      </c>
      <c r="N19" s="11" t="s">
        <v>958</v>
      </c>
      <c r="O19" s="11" t="s">
        <v>959</v>
      </c>
      <c r="P19" s="69">
        <f>COUNTIF('(backend scoring)'!$B:$B,'Auto Responses'!$N19)</f>
        <v>6</v>
      </c>
    </row>
    <row r="20" spans="1:20" ht="13">
      <c r="A20" s="12" t="s">
        <v>1213</v>
      </c>
      <c r="B20" s="12" t="s">
        <v>884</v>
      </c>
      <c r="J20" s="11" t="s">
        <v>918</v>
      </c>
      <c r="N20" s="11" t="s">
        <v>960</v>
      </c>
      <c r="O20" s="11" t="s">
        <v>1521</v>
      </c>
      <c r="P20" s="69">
        <f>COUNTIF('(backend scoring)'!$B:$B,'Auto Responses'!$N20)</f>
        <v>29</v>
      </c>
    </row>
    <row r="21" spans="1:20" ht="13">
      <c r="A21" s="12" t="s">
        <v>1214</v>
      </c>
      <c r="B21" s="12" t="s">
        <v>883</v>
      </c>
      <c r="J21" s="11" t="s">
        <v>919</v>
      </c>
      <c r="N21" s="11" t="s">
        <v>961</v>
      </c>
      <c r="O21" s="11" t="s">
        <v>997</v>
      </c>
      <c r="P21" s="69">
        <f>COUNTIF('(backend scoring)'!$B:$B,'Auto Responses'!$N21)</f>
        <v>12</v>
      </c>
    </row>
    <row r="22" spans="1:20" ht="13">
      <c r="A22" s="12" t="s">
        <v>1215</v>
      </c>
      <c r="B22" s="12" t="s">
        <v>882</v>
      </c>
      <c r="J22" s="11" t="s">
        <v>920</v>
      </c>
      <c r="N22" s="11" t="s">
        <v>962</v>
      </c>
      <c r="O22" s="11" t="s">
        <v>1216</v>
      </c>
      <c r="P22" s="69">
        <f>COUNTIF('(backend scoring)'!$B:$B,'Auto Responses'!$N22)</f>
        <v>10</v>
      </c>
    </row>
    <row r="23" spans="1:20" ht="13">
      <c r="A23" s="12" t="s">
        <v>1217</v>
      </c>
      <c r="B23" s="12" t="s">
        <v>881</v>
      </c>
      <c r="J23" s="11" t="s">
        <v>1592</v>
      </c>
      <c r="N23" s="11" t="s">
        <v>963</v>
      </c>
      <c r="O23" s="11" t="s">
        <v>964</v>
      </c>
      <c r="P23" s="69">
        <f>COUNTIF('(backend scoring)'!$B:$B,'Auto Responses'!$N23)</f>
        <v>5</v>
      </c>
    </row>
    <row r="24" spans="1:20" ht="13">
      <c r="A24" s="12" t="s">
        <v>1484</v>
      </c>
      <c r="B24" s="12" t="s">
        <v>880</v>
      </c>
      <c r="N24" s="11" t="s">
        <v>965</v>
      </c>
      <c r="O24" s="11" t="s">
        <v>966</v>
      </c>
      <c r="P24" s="69">
        <f>COUNTIF('(backend scoring)'!$B:$B,'Auto Responses'!$N24)</f>
        <v>4</v>
      </c>
    </row>
    <row r="25" spans="1:20" ht="13">
      <c r="A25" s="12" t="s">
        <v>1485</v>
      </c>
      <c r="B25" s="12" t="s">
        <v>879</v>
      </c>
      <c r="N25" s="11" t="s">
        <v>967</v>
      </c>
      <c r="O25" s="11" t="s">
        <v>994</v>
      </c>
      <c r="P25" s="69">
        <f>COUNTIF('(backend scoring)'!$B:$B,'Auto Responses'!$N25)</f>
        <v>3</v>
      </c>
    </row>
    <row r="26" spans="1:20" ht="13">
      <c r="A26" s="12" t="s">
        <v>878</v>
      </c>
      <c r="B26" s="12" t="s">
        <v>877</v>
      </c>
      <c r="N26" s="11" t="s">
        <v>968</v>
      </c>
      <c r="O26" s="11" t="s">
        <v>969</v>
      </c>
      <c r="P26" s="69">
        <f>COUNTIF('(backend scoring)'!$B:$B,'Auto Responses'!$N26)</f>
        <v>2</v>
      </c>
    </row>
    <row r="27" spans="1:20" ht="15.75" customHeight="1">
      <c r="A27" s="11" t="s">
        <v>1481</v>
      </c>
      <c r="J27" s="11" t="s">
        <v>37</v>
      </c>
      <c r="N27" s="11" t="s">
        <v>970</v>
      </c>
      <c r="O27" s="11" t="s">
        <v>971</v>
      </c>
      <c r="P27" s="69">
        <f>COUNTIF('(backend scoring)'!$B:$B,'Auto Responses'!$N27)</f>
        <v>2</v>
      </c>
    </row>
    <row r="28" spans="1:20" ht="15.75" customHeight="1">
      <c r="A28" s="12" t="s">
        <v>1524</v>
      </c>
      <c r="J28" s="11" t="s">
        <v>22</v>
      </c>
      <c r="N28" s="11" t="s">
        <v>972</v>
      </c>
      <c r="O28" s="11" t="s">
        <v>973</v>
      </c>
      <c r="P28" s="69">
        <f>COUNTIF('(backend scoring)'!$B:$B,'Auto Responses'!$N28)</f>
        <v>8</v>
      </c>
    </row>
    <row r="29" spans="1:20" ht="15.75" customHeight="1">
      <c r="A29" s="12"/>
      <c r="N29" s="11" t="s">
        <v>974</v>
      </c>
      <c r="O29" s="11" t="s">
        <v>975</v>
      </c>
      <c r="P29" s="69">
        <f>COUNTIF('(backend scoring)'!$B:$B,'Auto Responses'!$N29)</f>
        <v>13</v>
      </c>
    </row>
    <row r="30" spans="1:20" ht="15.75" customHeight="1">
      <c r="A30" s="12"/>
      <c r="N30" s="11" t="s">
        <v>976</v>
      </c>
      <c r="O30" s="11" t="s">
        <v>977</v>
      </c>
      <c r="P30" s="69">
        <f>COUNTIF('(backend scoring)'!$B:$B,'Auto Responses'!$N30)</f>
        <v>5</v>
      </c>
    </row>
    <row r="31" spans="1:20" ht="15.75" customHeight="1">
      <c r="A31" s="12"/>
      <c r="N31" s="11" t="s">
        <v>1113</v>
      </c>
      <c r="O31" s="11" t="s">
        <v>978</v>
      </c>
      <c r="P31" s="69">
        <f>COUNTIF('(backend scoring)'!$B:$B,'Auto Responses'!$N31)</f>
        <v>15</v>
      </c>
      <c r="T31" s="12"/>
    </row>
    <row r="32" spans="1:20" ht="15.75" customHeight="1">
      <c r="A32" s="12"/>
      <c r="N32" s="11" t="s">
        <v>979</v>
      </c>
      <c r="O32" s="11" t="s">
        <v>980</v>
      </c>
      <c r="P32" s="69">
        <f>COUNTIF('(backend scoring)'!$B:$B,'Auto Responses'!$N32)</f>
        <v>8</v>
      </c>
    </row>
    <row r="33" spans="1:16" ht="15.75" customHeight="1">
      <c r="N33" s="11" t="s">
        <v>981</v>
      </c>
      <c r="O33" s="11" t="s">
        <v>982</v>
      </c>
      <c r="P33" s="69">
        <f>COUNTIF('(backend scoring)'!$B:$B,'Auto Responses'!$N33)</f>
        <v>2</v>
      </c>
    </row>
    <row r="34" spans="1:16" ht="15.75" customHeight="1">
      <c r="A34" s="12"/>
      <c r="N34" s="11" t="s">
        <v>983</v>
      </c>
      <c r="O34" s="11" t="s">
        <v>984</v>
      </c>
      <c r="P34" s="69">
        <f>COUNTIF('(backend scoring)'!$B:$B,'Auto Responses'!$N34)</f>
        <v>5</v>
      </c>
    </row>
    <row r="35" spans="1:16" ht="15.75" customHeight="1">
      <c r="A35" s="12"/>
      <c r="N35" s="11" t="s">
        <v>985</v>
      </c>
      <c r="O35" s="11" t="s">
        <v>986</v>
      </c>
      <c r="P35" s="69">
        <f>COUNTIF('(backend scoring)'!$B:$B,'Auto Responses'!$N35)</f>
        <v>5</v>
      </c>
    </row>
    <row r="36" spans="1:16" ht="15.75" customHeight="1">
      <c r="A36" s="12" t="s">
        <v>1619</v>
      </c>
      <c r="N36" s="11" t="s">
        <v>987</v>
      </c>
      <c r="O36" s="11" t="s">
        <v>988</v>
      </c>
      <c r="P36" s="69">
        <f>COUNTIF('(backend scoring)'!$B:$B,'Auto Responses'!$N36)</f>
        <v>5</v>
      </c>
    </row>
    <row r="37" spans="1:16" ht="15.75" customHeight="1">
      <c r="A37" s="12"/>
      <c r="N37" s="11" t="s">
        <v>989</v>
      </c>
      <c r="O37" s="11" t="s">
        <v>990</v>
      </c>
      <c r="P37" s="69">
        <f>COUNTIF('(backend scoring)'!$B:$B,'Auto Responses'!$N37)</f>
        <v>8</v>
      </c>
    </row>
    <row r="38" spans="1:16" ht="15.75" customHeight="1">
      <c r="A38" s="12"/>
      <c r="N38" s="11" t="s">
        <v>991</v>
      </c>
      <c r="O38" s="11" t="s">
        <v>992</v>
      </c>
      <c r="P38" s="69">
        <f>COUNTIF('(backend scoring)'!$B:$B,'Auto Responses'!$N38)</f>
        <v>6</v>
      </c>
    </row>
    <row r="39" spans="1:16" ht="15.75" customHeight="1">
      <c r="A39" s="259" t="s">
        <v>1532</v>
      </c>
    </row>
    <row r="40" spans="1:16" ht="15.75" hidden="1" customHeight="1">
      <c r="A40" s="12"/>
    </row>
    <row r="41" spans="1:16" ht="15.75" hidden="1" customHeight="1">
      <c r="A41" s="12"/>
    </row>
    <row r="42" spans="1:16" ht="15.75" hidden="1" customHeight="1">
      <c r="A42" s="223"/>
    </row>
    <row r="43" spans="1:16" ht="15.75" hidden="1" customHeight="1">
      <c r="A43" s="12"/>
    </row>
    <row r="44" spans="1:16" ht="15.75" hidden="1" customHeight="1">
      <c r="A44" s="12"/>
    </row>
    <row r="45" spans="1:16" ht="15.75" hidden="1" customHeight="1">
      <c r="A45" s="12"/>
    </row>
    <row r="51" spans="4:4" ht="15.75" hidden="1" customHeight="1">
      <c r="D51" s="224"/>
    </row>
    <row r="52" spans="4:4" ht="15.75" hidden="1" customHeight="1">
      <c r="D52" s="224"/>
    </row>
    <row r="53" spans="4:4" ht="15.75" hidden="1" customHeight="1">
      <c r="D53" s="224"/>
    </row>
    <row r="54" spans="4:4" ht="15.75" hidden="1" customHeight="1">
      <c r="D54" s="224"/>
    </row>
    <row r="55" spans="4:4" ht="15.75" hidden="1" customHeight="1">
      <c r="D55" s="224"/>
    </row>
    <row r="56" spans="4:4" ht="15.75" hidden="1" customHeight="1">
      <c r="D56" s="224"/>
    </row>
    <row r="57" spans="4:4" ht="15.75" hidden="1" customHeight="1">
      <c r="D57" s="224"/>
    </row>
    <row r="58" spans="4:4" ht="15.75" hidden="1" customHeight="1">
      <c r="D58" s="224"/>
    </row>
    <row r="59" spans="4:4" ht="15.75" hidden="1" customHeight="1">
      <c r="D59" s="224"/>
    </row>
    <row r="60" spans="4:4" ht="15.75" hidden="1" customHeight="1">
      <c r="D60" s="224"/>
    </row>
    <row r="61" spans="4:4" ht="15.75" hidden="1" customHeight="1">
      <c r="D61" s="224"/>
    </row>
    <row r="62" spans="4:4" ht="15.75" hidden="1" customHeight="1">
      <c r="D62" s="224"/>
    </row>
    <row r="63" spans="4:4" ht="15.75" hidden="1" customHeight="1">
      <c r="D63" s="224"/>
    </row>
    <row r="64" spans="4:4" ht="15.75" hidden="1" customHeight="1">
      <c r="D64" s="224"/>
    </row>
    <row r="65" spans="4:4" ht="15.75" hidden="1" customHeight="1">
      <c r="D65" s="224"/>
    </row>
  </sheetData>
  <conditionalFormatting sqref="D8">
    <cfRule type="expression" dxfId="0" priority="1">
      <formula>ISNUMBER(FIND("*",#REF!))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C307" activePane="bottomRight" state="frozen"/>
      <selection pane="topRight" activeCell="B1" sqref="B1"/>
      <selection pane="bottomLeft" activeCell="A2" sqref="A2"/>
      <selection pane="bottomRight" activeCell="O314" sqref="O314"/>
    </sheetView>
  </sheetViews>
  <sheetFormatPr baseColWidth="10" defaultColWidth="0" defaultRowHeight="16" zeroHeight="1"/>
  <cols>
    <col min="1" max="1" width="8.75" style="8" customWidth="1"/>
    <col min="2" max="2" width="0" style="8" hidden="1" customWidth="1"/>
    <col min="3" max="3" width="35.75" style="8" customWidth="1"/>
    <col min="4" max="4" width="15.375" style="8" customWidth="1"/>
    <col min="5" max="6" width="12.75" style="8" customWidth="1"/>
    <col min="7" max="8" width="8.75" style="8" customWidth="1"/>
    <col min="9" max="10" width="10.875" style="8" customWidth="1"/>
    <col min="11" max="11" width="11.25" style="8" customWidth="1"/>
    <col min="12" max="12" width="12" style="114" customWidth="1"/>
    <col min="13" max="14" width="13" style="108" customWidth="1"/>
    <col min="15" max="16" width="8.75" style="108" customWidth="1"/>
    <col min="17" max="22" width="8.75" style="114" customWidth="1"/>
    <col min="23" max="23" width="8.75" style="108" customWidth="1"/>
    <col min="24" max="16384" width="8.75" style="108" hidden="1"/>
  </cols>
  <sheetData>
    <row r="1" spans="1:22" hidden="1">
      <c r="A1" s="262" t="s">
        <v>1538</v>
      </c>
    </row>
    <row r="2" spans="1:22" ht="90">
      <c r="A2" s="109" t="s">
        <v>0</v>
      </c>
      <c r="B2" s="115" t="s">
        <v>1019</v>
      </c>
      <c r="C2" s="109" t="s">
        <v>1</v>
      </c>
      <c r="D2" s="109" t="s">
        <v>10</v>
      </c>
      <c r="E2" s="110" t="s">
        <v>11</v>
      </c>
      <c r="F2" s="111" t="s">
        <v>903</v>
      </c>
      <c r="G2" s="112" t="s">
        <v>925</v>
      </c>
      <c r="H2" s="112" t="s">
        <v>927</v>
      </c>
      <c r="I2" s="113" t="s">
        <v>19</v>
      </c>
      <c r="J2" s="112" t="s">
        <v>912</v>
      </c>
      <c r="K2" s="112" t="s">
        <v>1017</v>
      </c>
      <c r="L2" s="112" t="s">
        <v>1016</v>
      </c>
      <c r="M2" s="112" t="s">
        <v>1018</v>
      </c>
      <c r="N2" s="112" t="s">
        <v>1022</v>
      </c>
      <c r="O2" s="112" t="s">
        <v>1014</v>
      </c>
      <c r="P2" s="112" t="s">
        <v>1015</v>
      </c>
      <c r="Q2" s="166" t="s">
        <v>1034</v>
      </c>
      <c r="R2" s="166" t="s">
        <v>1035</v>
      </c>
      <c r="S2" s="166" t="s">
        <v>1036</v>
      </c>
      <c r="T2" s="166" t="s">
        <v>1037</v>
      </c>
      <c r="U2" s="166" t="s">
        <v>1038</v>
      </c>
      <c r="V2" s="166" t="s">
        <v>1039</v>
      </c>
    </row>
    <row r="3" spans="1:22" ht="60">
      <c r="A3" s="10" t="str">
        <f>Questions!$A3</f>
        <v>GNRL-01</v>
      </c>
      <c r="B3" s="10" t="str">
        <f>LEFT(A3,4)</f>
        <v>GNRL</v>
      </c>
      <c r="C3" s="10" t="str">
        <f>VLOOKUP($A3,Questions!$A$3:$L$333,2,0)&amp;""</f>
        <v>Solution Provider Name</v>
      </c>
      <c r="D3" s="10" t="str">
        <f>VLOOKUP($A3,Questions!$A$3:$L$333,11,0)&amp;""</f>
        <v>NA</v>
      </c>
      <c r="E3" s="10" t="str">
        <f>VLOOKUP($A3,Questions!$A$3:$L$333,12,0)&amp;""</f>
        <v>Not Scored</v>
      </c>
      <c r="F3" s="10" t="str">
        <f>VLOOKUP($A3,'Institution Evaluation'!$A$56:$K$346,3,0)&amp;""</f>
        <v>America's Software Corporation</v>
      </c>
      <c r="G3" s="10" t="str">
        <f>VLOOKUP($A3,'Institution Evaluation'!$A$56:$K$346,7,0)&amp;""</f>
        <v>Not scored</v>
      </c>
      <c r="H3" s="10" t="str">
        <f>VLOOKUP($A3,'Institution Evaluation'!$A$56:$K$346,8,0)&amp;""</f>
        <v/>
      </c>
      <c r="I3" s="10" t="str">
        <f>VLOOKUP($A3,'Institution Evaluation'!$A$56:$K$346,9,0)&amp;""</f>
        <v/>
      </c>
      <c r="J3" s="10" t="str">
        <f>VLOOKUP($A3,'Institution Evaluation'!$A$56:$K$346,10,0)&amp;""</f>
        <v/>
      </c>
      <c r="K3" s="10">
        <f>IF($I3="Critical Importance",20,IF($I3="Minor Importance",5,10))</f>
        <v>10</v>
      </c>
      <c r="L3" s="114" t="str">
        <f>IF($E3="Not Scored", "N/A",IF(AND($D3='Auto Responses'!$J$27,$H3=""),"N/A",IF(AND($D3='Auto Responses'!$J$27,$H3='Auto Responses'!$J$7),1,IF(AND($D3='Auto Responses'!$J$27,$H3='Auto Responses'!$J$8),0,IF(OR($F3=$G3,$H3='Auto Responses'!$J$7),1,0)))))</f>
        <v>N/A</v>
      </c>
      <c r="M3" s="10" t="str">
        <f>VLOOKUP($A3,'Institution Evaluation'!$A$56:$K$346,10,0)&amp;""</f>
        <v/>
      </c>
      <c r="N3" s="10">
        <f>IF($J3="Critical Importance",1,IF(AND($J3="",$I3="Critical Importance"),1,0))</f>
        <v>0</v>
      </c>
      <c r="O3" s="114" t="str">
        <f>IF($E3="Not Scored","N/A",IF($J3="",$K3,IF($J3="Minor Importance",5,IF($J3="Standard Importance",10,IF($J3="Critical Importance",20,0)))))</f>
        <v>N/A</v>
      </c>
      <c r="P3" s="114" t="str">
        <f>IF(OR($O3="N/A",$L3="N/A"),"N/A",$O3*$L3)</f>
        <v>N/A</v>
      </c>
      <c r="Q3" s="114">
        <f>IF(M3="TRUE",1,0)</f>
        <v>0</v>
      </c>
      <c r="R3" s="114">
        <f>Q3</f>
        <v>0</v>
      </c>
      <c r="S3" s="114">
        <f>IF(Q3=0,0,R3)</f>
        <v>0</v>
      </c>
      <c r="T3" s="114">
        <f>IF(N3=1,1,0)</f>
        <v>0</v>
      </c>
      <c r="U3" s="114">
        <f>T3</f>
        <v>0</v>
      </c>
      <c r="V3" s="114">
        <f>IF(T3=0,0,U3)</f>
        <v>0</v>
      </c>
    </row>
    <row r="4" spans="1:22" ht="60">
      <c r="A4" s="10" t="str">
        <f>Questions!$A4</f>
        <v>GNRL-02</v>
      </c>
      <c r="B4" s="10" t="str">
        <f t="shared" ref="B4:B67" si="0">LEFT(A4,4)</f>
        <v>GNRL</v>
      </c>
      <c r="C4" s="10" t="str">
        <f>VLOOKUP($A4,Questions!$A$3:$L$333,2,0)&amp;""</f>
        <v>Solution Name</v>
      </c>
      <c r="D4" s="10" t="str">
        <f>VLOOKUP($A4,Questions!$A$3:$L$333,11,0)&amp;""</f>
        <v>NA</v>
      </c>
      <c r="E4" s="10" t="str">
        <f>VLOOKUP($A4,Questions!$A$3:$L$333,12,0)&amp;""</f>
        <v>Not Scored</v>
      </c>
      <c r="F4" s="10" t="str">
        <f>VLOOKUP($A4,'Institution Evaluation'!$A$56:$K$346,3,0)&amp;""</f>
        <v>TalEval, Discovery Pro</v>
      </c>
      <c r="G4" s="10" t="str">
        <f>VLOOKUP($A4,'Institution Evaluation'!$A$56:$K$346,7,0)&amp;""</f>
        <v>Not scored</v>
      </c>
      <c r="H4" s="10" t="str">
        <f>VLOOKUP($A4,'Institution Evaluation'!$A$56:$K$346,8,0)&amp;""</f>
        <v/>
      </c>
      <c r="I4" s="10" t="str">
        <f>VLOOKUP($A4,'Institution Evaluation'!$A$56:$K$346,9,0)&amp;""</f>
        <v/>
      </c>
      <c r="J4" s="10" t="str">
        <f>VLOOKUP($A4,'Institution Evaluation'!$A$56:$K$346,10,0)&amp;""</f>
        <v/>
      </c>
      <c r="K4" s="10">
        <f t="shared" ref="K4:K67" si="1">IF($I4="Critical Importance",20,IF($I4="Minor Importance",5,10))</f>
        <v>10</v>
      </c>
      <c r="L4" s="114" t="str">
        <f>IF($E4="Not Scored", "N/A",IF(AND($D4='Auto Responses'!$J$27,$H4=""),"N/A",IF(AND($D4='Auto Responses'!$J$27,$H4='Auto Responses'!$J$7),1,IF(AND($D4='Auto Responses'!$J$27,$H4='Auto Responses'!$J$8),0,IF(OR($F4=$G4,$H4='Auto Responses'!$J$7),1,0)))))</f>
        <v>N/A</v>
      </c>
      <c r="M4" s="10" t="str">
        <f>VLOOKUP($A4,'Institution Evaluation'!$A$56:$K$346,10,0)&amp;""</f>
        <v/>
      </c>
      <c r="N4" s="10">
        <f t="shared" ref="N4:N67" si="2">IF($J4="Critical Importance",1,IF(AND($J4="",$I4="Critical Importance"),1,0))</f>
        <v>0</v>
      </c>
      <c r="O4" s="114" t="str">
        <f t="shared" ref="O4:O54" si="3">IF($E4="Not Scored","N/A",IF($J4="",$K4,IF($J4="Minor Importance",5,IF($J4="Standard Importance",10,IF($J4="Critical Importance",20,0)))))</f>
        <v>N/A</v>
      </c>
      <c r="P4" s="114" t="str">
        <f t="shared" ref="P4:P67" si="4">IF(OR($O4="N/A",$L4="N/A"),"N/A",$O4*$L4)</f>
        <v>N/A</v>
      </c>
      <c r="Q4" s="114">
        <f t="shared" ref="Q4:Q66" si="5">IF(M4="TRUE",1,0)</f>
        <v>0</v>
      </c>
      <c r="R4" s="114">
        <f>R3+Q4</f>
        <v>0</v>
      </c>
      <c r="S4" s="114">
        <f t="shared" ref="S4:S66" si="6">IF(Q4=0,0,R4)</f>
        <v>0</v>
      </c>
      <c r="T4" s="114">
        <f t="shared" ref="T4:T66" si="7">IF(N4=1,1,0)</f>
        <v>0</v>
      </c>
      <c r="U4" s="114">
        <f>U3+T4</f>
        <v>0</v>
      </c>
      <c r="V4" s="114">
        <f t="shared" ref="V4:V66" si="8">IF(T4=0,0,U4)</f>
        <v>0</v>
      </c>
    </row>
    <row r="5" spans="1:22" ht="60">
      <c r="A5" s="10" t="str">
        <f>Questions!$A5</f>
        <v>GNRL-03</v>
      </c>
      <c r="B5" s="10" t="str">
        <f t="shared" si="0"/>
        <v>GNRL</v>
      </c>
      <c r="C5" s="10" t="str">
        <f>VLOOKUP($A5,Questions!$A$3:$L$333,2,0)&amp;""</f>
        <v>Solution Description</v>
      </c>
      <c r="D5" s="10" t="str">
        <f>VLOOKUP($A5,Questions!$A$3:$L$333,11,0)&amp;""</f>
        <v>NA</v>
      </c>
      <c r="E5" s="10" t="str">
        <f>VLOOKUP($A5,Questions!$A$3:$L$333,12,0)&amp;""</f>
        <v>Not Scored</v>
      </c>
      <c r="F5" s="10" t="str">
        <f>VLOOKUP($A5,'Institution Evaluation'!$A$56:$K$346,3,0)&amp;""</f>
        <v>Dental Hygiene/COS Student  Tracking</v>
      </c>
      <c r="G5" s="10" t="str">
        <f>VLOOKUP($A5,'Institution Evaluation'!$A$56:$K$346,7,0)&amp;""</f>
        <v>Not scored</v>
      </c>
      <c r="H5" s="10" t="str">
        <f>VLOOKUP($A5,'Institution Evaluation'!$A$56:$K$346,8,0)&amp;""</f>
        <v/>
      </c>
      <c r="I5" s="10" t="str">
        <f>VLOOKUP($A5,'Institution Evaluation'!$A$56:$K$346,9,0)&amp;""</f>
        <v/>
      </c>
      <c r="J5" s="10" t="str">
        <f>VLOOKUP($A5,'Institution Evaluation'!$A$56:$K$346,10,0)&amp;""</f>
        <v/>
      </c>
      <c r="K5" s="10">
        <f t="shared" si="1"/>
        <v>10</v>
      </c>
      <c r="L5" s="114" t="str">
        <f>IF($E5="Not Scored", "N/A",IF(AND($D5='Auto Responses'!$J$27,$H5=""),"N/A",IF(AND($D5='Auto Responses'!$J$27,$H5='Auto Responses'!$J$7),1,IF(AND($D5='Auto Responses'!$J$27,$H5='Auto Responses'!$J$8),0,IF(OR($F5=$G5,$H5='Auto Responses'!$J$7),1,0)))))</f>
        <v>N/A</v>
      </c>
      <c r="M5" s="10" t="str">
        <f>VLOOKUP($A5,'Institution Evaluation'!$A$56:$K$346,10,0)&amp;""</f>
        <v/>
      </c>
      <c r="N5" s="10">
        <f t="shared" si="2"/>
        <v>0</v>
      </c>
      <c r="O5" s="114" t="str">
        <f t="shared" si="3"/>
        <v>N/A</v>
      </c>
      <c r="P5" s="114" t="str">
        <f t="shared" si="4"/>
        <v>N/A</v>
      </c>
      <c r="Q5" s="114">
        <f t="shared" si="5"/>
        <v>0</v>
      </c>
      <c r="R5" s="114">
        <f t="shared" ref="R5:R68" si="9">R4+Q5</f>
        <v>0</v>
      </c>
      <c r="S5" s="114">
        <f t="shared" si="6"/>
        <v>0</v>
      </c>
      <c r="T5" s="114">
        <f t="shared" si="7"/>
        <v>0</v>
      </c>
      <c r="U5" s="114">
        <f t="shared" ref="U5:U68" si="10">U4+T5</f>
        <v>0</v>
      </c>
      <c r="V5" s="114">
        <f t="shared" si="8"/>
        <v>0</v>
      </c>
    </row>
    <row r="6" spans="1:22" ht="60">
      <c r="A6" s="10" t="str">
        <f>Questions!$A6</f>
        <v>GNRL-04</v>
      </c>
      <c r="B6" s="10" t="str">
        <f t="shared" si="0"/>
        <v>GNRL</v>
      </c>
      <c r="C6" s="10" t="str">
        <f>VLOOKUP($A6,Questions!$A$3:$L$333,2,0)&amp;""</f>
        <v>Solution Provider Contact Name</v>
      </c>
      <c r="D6" s="10" t="str">
        <f>VLOOKUP($A6,Questions!$A$3:$L$333,11,0)&amp;""</f>
        <v>NA</v>
      </c>
      <c r="E6" s="10" t="str">
        <f>VLOOKUP($A6,Questions!$A$3:$L$333,12,0)&amp;""</f>
        <v>Not Scored</v>
      </c>
      <c r="F6" s="10" t="str">
        <f>VLOOKUP($A6,'Institution Evaluation'!$A$56:$K$346,3,0)&amp;""</f>
        <v>Connie Harper</v>
      </c>
      <c r="G6" s="10" t="str">
        <f>VLOOKUP($A6,'Institution Evaluation'!$A$56:$K$346,7,0)&amp;""</f>
        <v>Not scored</v>
      </c>
      <c r="H6" s="10" t="str">
        <f>VLOOKUP($A6,'Institution Evaluation'!$A$56:$K$346,8,0)&amp;""</f>
        <v/>
      </c>
      <c r="I6" s="10" t="str">
        <f>VLOOKUP($A6,'Institution Evaluation'!$A$56:$K$346,9,0)&amp;""</f>
        <v/>
      </c>
      <c r="J6" s="10" t="str">
        <f>VLOOKUP($A6,'Institution Evaluation'!$A$56:$K$346,10,0)&amp;""</f>
        <v/>
      </c>
      <c r="K6" s="10">
        <f t="shared" si="1"/>
        <v>10</v>
      </c>
      <c r="L6" s="114" t="str">
        <f>IF($E6="Not Scored", "N/A",IF(AND($D6='Auto Responses'!$J$27,$H6=""),"N/A",IF(AND($D6='Auto Responses'!$J$27,$H6='Auto Responses'!$J$7),1,IF(AND($D6='Auto Responses'!$J$27,$H6='Auto Responses'!$J$8),0,IF(OR($F6=$G6,$H6='Auto Responses'!$J$7),1,0)))))</f>
        <v>N/A</v>
      </c>
      <c r="M6" s="10" t="str">
        <f>VLOOKUP($A6,'Institution Evaluation'!$A$56:$K$346,10,0)&amp;""</f>
        <v/>
      </c>
      <c r="N6" s="10">
        <f t="shared" si="2"/>
        <v>0</v>
      </c>
      <c r="O6" s="114" t="str">
        <f t="shared" si="3"/>
        <v>N/A</v>
      </c>
      <c r="P6" s="114" t="str">
        <f t="shared" si="4"/>
        <v>N/A</v>
      </c>
      <c r="Q6" s="114">
        <f t="shared" si="5"/>
        <v>0</v>
      </c>
      <c r="R6" s="114">
        <f t="shared" si="9"/>
        <v>0</v>
      </c>
      <c r="S6" s="114">
        <f t="shared" si="6"/>
        <v>0</v>
      </c>
      <c r="T6" s="114">
        <f t="shared" si="7"/>
        <v>0</v>
      </c>
      <c r="U6" s="114">
        <f t="shared" si="10"/>
        <v>0</v>
      </c>
      <c r="V6" s="114">
        <f t="shared" si="8"/>
        <v>0</v>
      </c>
    </row>
    <row r="7" spans="1:22" ht="60">
      <c r="A7" s="10" t="str">
        <f>Questions!$A7</f>
        <v>GNRL-05</v>
      </c>
      <c r="B7" s="10" t="str">
        <f t="shared" si="0"/>
        <v>GNRL</v>
      </c>
      <c r="C7" s="10" t="str">
        <f>VLOOKUP($A7,Questions!$A$3:$L$333,2,0)&amp;""</f>
        <v>Solution Provider Contact Title</v>
      </c>
      <c r="D7" s="10" t="str">
        <f>VLOOKUP($A7,Questions!$A$3:$L$333,11,0)&amp;""</f>
        <v>NA</v>
      </c>
      <c r="E7" s="10" t="str">
        <f>VLOOKUP($A7,Questions!$A$3:$L$333,12,0)&amp;""</f>
        <v>Not Scored</v>
      </c>
      <c r="F7" s="10" t="str">
        <f>VLOOKUP($A7,'Institution Evaluation'!$A$56:$K$346,3,0)&amp;""</f>
        <v>President</v>
      </c>
      <c r="G7" s="10" t="str">
        <f>VLOOKUP($A7,'Institution Evaluation'!$A$56:$K$346,7,0)&amp;""</f>
        <v>Not scored</v>
      </c>
      <c r="H7" s="10" t="str">
        <f>VLOOKUP($A7,'Institution Evaluation'!$A$56:$K$346,8,0)&amp;""</f>
        <v/>
      </c>
      <c r="I7" s="10" t="str">
        <f>VLOOKUP($A7,'Institution Evaluation'!$A$56:$K$346,9,0)&amp;""</f>
        <v/>
      </c>
      <c r="J7" s="10" t="str">
        <f>VLOOKUP($A7,'Institution Evaluation'!$A$56:$K$346,10,0)&amp;""</f>
        <v/>
      </c>
      <c r="K7" s="10">
        <f t="shared" si="1"/>
        <v>10</v>
      </c>
      <c r="L7" s="114" t="str">
        <f>IF($E7="Not Scored", "N/A",IF(AND($D7='Auto Responses'!$J$27,$H7=""),"N/A",IF(AND($D7='Auto Responses'!$J$27,$H7='Auto Responses'!$J$7),1,IF(AND($D7='Auto Responses'!$J$27,$H7='Auto Responses'!$J$8),0,IF(OR($F7=$G7,$H7='Auto Responses'!$J$7),1,0)))))</f>
        <v>N/A</v>
      </c>
      <c r="M7" s="10" t="str">
        <f>VLOOKUP($A7,'Institution Evaluation'!$A$56:$K$346,10,0)&amp;""</f>
        <v/>
      </c>
      <c r="N7" s="10">
        <f t="shared" si="2"/>
        <v>0</v>
      </c>
      <c r="O7" s="114" t="str">
        <f t="shared" si="3"/>
        <v>N/A</v>
      </c>
      <c r="P7" s="114" t="str">
        <f t="shared" si="4"/>
        <v>N/A</v>
      </c>
      <c r="Q7" s="114">
        <f t="shared" si="5"/>
        <v>0</v>
      </c>
      <c r="R7" s="114">
        <f t="shared" si="9"/>
        <v>0</v>
      </c>
      <c r="S7" s="114">
        <f t="shared" si="6"/>
        <v>0</v>
      </c>
      <c r="T7" s="114">
        <f t="shared" si="7"/>
        <v>0</v>
      </c>
      <c r="U7" s="114">
        <f t="shared" si="10"/>
        <v>0</v>
      </c>
      <c r="V7" s="114">
        <f t="shared" si="8"/>
        <v>0</v>
      </c>
    </row>
    <row r="8" spans="1:22" ht="60">
      <c r="A8" s="10" t="str">
        <f>Questions!$A8</f>
        <v>GNRL-06</v>
      </c>
      <c r="B8" s="10" t="str">
        <f t="shared" si="0"/>
        <v>GNRL</v>
      </c>
      <c r="C8" s="10" t="str">
        <f>VLOOKUP($A8,Questions!$A$3:$L$333,2,0)&amp;""</f>
        <v>Solution Provider Contact Email</v>
      </c>
      <c r="D8" s="10" t="str">
        <f>VLOOKUP($A8,Questions!$A$3:$L$333,11,0)&amp;""</f>
        <v>NA</v>
      </c>
      <c r="E8" s="10" t="str">
        <f>VLOOKUP($A8,Questions!$A$3:$L$333,12,0)&amp;""</f>
        <v>Not Scored</v>
      </c>
      <c r="F8" s="10" t="str">
        <f>VLOOKUP($A8,'Institution Evaluation'!$A$56:$K$346,3,0)&amp;""</f>
        <v>taleval@icloud.com</v>
      </c>
      <c r="G8" s="10" t="str">
        <f>VLOOKUP($A8,'Institution Evaluation'!$A$56:$K$346,7,0)&amp;""</f>
        <v>Not scored</v>
      </c>
      <c r="H8" s="10" t="str">
        <f>VLOOKUP($A8,'Institution Evaluation'!$A$56:$K$346,8,0)&amp;""</f>
        <v/>
      </c>
      <c r="I8" s="10" t="str">
        <f>VLOOKUP($A8,'Institution Evaluation'!$A$56:$K$346,9,0)&amp;""</f>
        <v/>
      </c>
      <c r="J8" s="10" t="str">
        <f>VLOOKUP($A8,'Institution Evaluation'!$A$56:$K$346,10,0)&amp;""</f>
        <v/>
      </c>
      <c r="K8" s="10">
        <f t="shared" si="1"/>
        <v>10</v>
      </c>
      <c r="L8" s="114" t="str">
        <f>IF($E8="Not Scored", "N/A",IF(AND($D8='Auto Responses'!$J$27,$H8=""),"N/A",IF(AND($D8='Auto Responses'!$J$27,$H8='Auto Responses'!$J$7),1,IF(AND($D8='Auto Responses'!$J$27,$H8='Auto Responses'!$J$8),0,IF(OR($F8=$G8,$H8='Auto Responses'!$J$7),1,0)))))</f>
        <v>N/A</v>
      </c>
      <c r="M8" s="10" t="str">
        <f>VLOOKUP($A8,'Institution Evaluation'!$A$56:$K$346,10,0)&amp;""</f>
        <v/>
      </c>
      <c r="N8" s="10">
        <f t="shared" si="2"/>
        <v>0</v>
      </c>
      <c r="O8" s="114" t="str">
        <f t="shared" si="3"/>
        <v>N/A</v>
      </c>
      <c r="P8" s="114" t="str">
        <f t="shared" si="4"/>
        <v>N/A</v>
      </c>
      <c r="Q8" s="114">
        <f t="shared" si="5"/>
        <v>0</v>
      </c>
      <c r="R8" s="114">
        <f t="shared" si="9"/>
        <v>0</v>
      </c>
      <c r="S8" s="114">
        <f t="shared" si="6"/>
        <v>0</v>
      </c>
      <c r="T8" s="114">
        <f t="shared" si="7"/>
        <v>0</v>
      </c>
      <c r="U8" s="114">
        <f t="shared" si="10"/>
        <v>0</v>
      </c>
      <c r="V8" s="114">
        <f t="shared" si="8"/>
        <v>0</v>
      </c>
    </row>
    <row r="9" spans="1:22" ht="60">
      <c r="A9" s="10" t="str">
        <f>Questions!$A9</f>
        <v>GNRL-07</v>
      </c>
      <c r="B9" s="10" t="str">
        <f t="shared" si="0"/>
        <v>GNRL</v>
      </c>
      <c r="C9" s="10" t="str">
        <f>VLOOKUP($A9,Questions!$A$3:$L$333,2,0)&amp;""</f>
        <v>Solution Provider Contact Phone Number</v>
      </c>
      <c r="D9" s="10" t="str">
        <f>VLOOKUP($A9,Questions!$A$3:$L$333,11,0)&amp;""</f>
        <v>NA</v>
      </c>
      <c r="E9" s="10" t="str">
        <f>VLOOKUP($A9,Questions!$A$3:$L$333,12,0)&amp;""</f>
        <v>Not Scored</v>
      </c>
      <c r="F9" s="10" t="str">
        <f>VLOOKUP($A9,'Institution Evaluation'!$A$56:$K$346,3,0)&amp;""</f>
        <v>800-467-1170</v>
      </c>
      <c r="G9" s="10" t="str">
        <f>VLOOKUP($A9,'Institution Evaluation'!$A$56:$K$346,7,0)&amp;""</f>
        <v>Not scored</v>
      </c>
      <c r="H9" s="10" t="str">
        <f>VLOOKUP($A9,'Institution Evaluation'!$A$56:$K$346,8,0)&amp;""</f>
        <v/>
      </c>
      <c r="I9" s="10" t="str">
        <f>VLOOKUP($A9,'Institution Evaluation'!$A$56:$K$346,9,0)&amp;""</f>
        <v/>
      </c>
      <c r="J9" s="10" t="str">
        <f>VLOOKUP($A9,'Institution Evaluation'!$A$56:$K$346,10,0)&amp;""</f>
        <v/>
      </c>
      <c r="K9" s="10">
        <f t="shared" si="1"/>
        <v>10</v>
      </c>
      <c r="L9" s="114" t="str">
        <f>IF($E9="Not Scored", "N/A",IF(AND($D9='Auto Responses'!$J$27,$H9=""),"N/A",IF(AND($D9='Auto Responses'!$J$27,$H9='Auto Responses'!$J$7),1,IF(AND($D9='Auto Responses'!$J$27,$H9='Auto Responses'!$J$8),0,IF(OR($F9=$G9,$H9='Auto Responses'!$J$7),1,0)))))</f>
        <v>N/A</v>
      </c>
      <c r="M9" s="10" t="str">
        <f>VLOOKUP($A9,'Institution Evaluation'!$A$56:$K$346,10,0)&amp;""</f>
        <v/>
      </c>
      <c r="N9" s="10">
        <f t="shared" si="2"/>
        <v>0</v>
      </c>
      <c r="O9" s="114" t="str">
        <f t="shared" si="3"/>
        <v>N/A</v>
      </c>
      <c r="P9" s="114" t="str">
        <f t="shared" si="4"/>
        <v>N/A</v>
      </c>
      <c r="Q9" s="114">
        <f t="shared" si="5"/>
        <v>0</v>
      </c>
      <c r="R9" s="114">
        <f t="shared" si="9"/>
        <v>0</v>
      </c>
      <c r="S9" s="114">
        <f t="shared" si="6"/>
        <v>0</v>
      </c>
      <c r="T9" s="114">
        <f t="shared" si="7"/>
        <v>0</v>
      </c>
      <c r="U9" s="114">
        <f t="shared" si="10"/>
        <v>0</v>
      </c>
      <c r="V9" s="114">
        <f t="shared" si="8"/>
        <v>0</v>
      </c>
    </row>
    <row r="10" spans="1:22" ht="60">
      <c r="A10" s="10" t="str">
        <f>Questions!$A10</f>
        <v>GNRL-08</v>
      </c>
      <c r="B10" s="10" t="str">
        <f t="shared" si="0"/>
        <v>GNRL</v>
      </c>
      <c r="C10" s="10" t="str">
        <f>VLOOKUP($A10,Questions!$A$3:$L$333,2,0)&amp;""</f>
        <v>Country of Company Headquarters</v>
      </c>
      <c r="D10" s="10" t="str">
        <f>VLOOKUP($A10,Questions!$A$3:$L$333,11,0)&amp;""</f>
        <v>NA</v>
      </c>
      <c r="E10" s="10" t="str">
        <f>VLOOKUP($A10,Questions!$A$3:$L$333,12,0)&amp;""</f>
        <v>Not Scored</v>
      </c>
      <c r="F10" s="10" t="str">
        <f>VLOOKUP($A10,'Institution Evaluation'!$A$56:$K$346,3,0)&amp;""</f>
        <v>USA</v>
      </c>
      <c r="G10" s="10" t="str">
        <f>VLOOKUP($A10,'Institution Evaluation'!$A$56:$K$346,7,0)&amp;""</f>
        <v>Not scored</v>
      </c>
      <c r="H10" s="10" t="str">
        <f>VLOOKUP($A10,'Institution Evaluation'!$A$56:$K$346,8,0)&amp;""</f>
        <v/>
      </c>
      <c r="I10" s="10" t="str">
        <f>VLOOKUP($A10,'Institution Evaluation'!$A$56:$K$346,9,0)&amp;""</f>
        <v/>
      </c>
      <c r="J10" s="10" t="str">
        <f>VLOOKUP($A10,'Institution Evaluation'!$A$56:$K$346,10,0)&amp;""</f>
        <v/>
      </c>
      <c r="K10" s="10">
        <f t="shared" si="1"/>
        <v>10</v>
      </c>
      <c r="L10" s="114" t="str">
        <f>IF($E10="Not Scored", "N/A",IF(AND($D10='Auto Responses'!$J$27,$H10=""),"N/A",IF(AND($D10='Auto Responses'!$J$27,$H10='Auto Responses'!$J$7),1,IF(AND($D10='Auto Responses'!$J$27,$H10='Auto Responses'!$J$8),0,IF(OR($F10=$G10,$H10='Auto Responses'!$J$7),1,0)))))</f>
        <v>N/A</v>
      </c>
      <c r="M10" s="10" t="str">
        <f>VLOOKUP($A10,'Institution Evaluation'!$A$56:$K$346,10,0)&amp;""</f>
        <v/>
      </c>
      <c r="N10" s="10">
        <f t="shared" si="2"/>
        <v>0</v>
      </c>
      <c r="O10" s="114" t="str">
        <f t="shared" si="3"/>
        <v>N/A</v>
      </c>
      <c r="P10" s="114" t="str">
        <f t="shared" si="4"/>
        <v>N/A</v>
      </c>
      <c r="Q10" s="114">
        <f t="shared" si="5"/>
        <v>0</v>
      </c>
      <c r="R10" s="114">
        <f t="shared" si="9"/>
        <v>0</v>
      </c>
      <c r="S10" s="114">
        <f t="shared" si="6"/>
        <v>0</v>
      </c>
      <c r="T10" s="114">
        <f t="shared" si="7"/>
        <v>0</v>
      </c>
      <c r="U10" s="114">
        <f t="shared" si="10"/>
        <v>0</v>
      </c>
      <c r="V10" s="114">
        <f t="shared" si="8"/>
        <v>0</v>
      </c>
    </row>
    <row r="11" spans="1:22" ht="60">
      <c r="A11" s="10" t="str">
        <f>Questions!$A11</f>
        <v>GNRL-09</v>
      </c>
      <c r="B11" s="10" t="str">
        <f t="shared" si="0"/>
        <v>GNRL</v>
      </c>
      <c r="C11" s="10" t="str">
        <f>VLOOKUP($A11,Questions!$A$3:$L$333,2,0)&amp;""</f>
        <v>Employee Work Locations (all)</v>
      </c>
      <c r="D11" s="10" t="s">
        <v>22</v>
      </c>
      <c r="E11" s="10" t="str">
        <f>VLOOKUP($A11,Questions!$A$3:$L$333,12,0)&amp;""</f>
        <v>Not Scored</v>
      </c>
      <c r="F11" s="10" t="str">
        <f>VLOOKUP($A11,'Institution Evaluation'!$A$56:$K$346,3,0)&amp;""</f>
        <v>SOUTH CAROLINA</v>
      </c>
      <c r="G11" s="10" t="str">
        <f>VLOOKUP($A11,'Institution Evaluation'!$A$56:$K$346,7,0)&amp;""</f>
        <v>Not scored</v>
      </c>
      <c r="H11" s="10" t="str">
        <f>VLOOKUP($A11,'Institution Evaluation'!$A$56:$K$346,8,0)&amp;""</f>
        <v/>
      </c>
      <c r="I11" s="10" t="str">
        <f>VLOOKUP($A11,'Institution Evaluation'!$A$56:$K$346,9,0)&amp;""</f>
        <v/>
      </c>
      <c r="J11" s="10" t="str">
        <f>VLOOKUP($A11,'Institution Evaluation'!$A$56:$K$346,10,0)&amp;""</f>
        <v/>
      </c>
      <c r="K11" s="10">
        <f t="shared" si="1"/>
        <v>10</v>
      </c>
      <c r="L11" s="114" t="str">
        <f>IF($E11="Not Scored", "N/A",IF(AND($D11='Auto Responses'!$J$27,$H11=""),"N/A",IF(AND($D11='Auto Responses'!$J$27,$H11='Auto Responses'!$J$7),1,IF(AND($D11='Auto Responses'!$J$27,$H11='Auto Responses'!$J$8),0,IF(OR($F11=$G11,$H11='Auto Responses'!$J$7),1,0)))))</f>
        <v>N/A</v>
      </c>
      <c r="M11" s="10" t="str">
        <f>VLOOKUP($A11,'Institution Evaluation'!$A$56:$K$346,10,0)&amp;""</f>
        <v/>
      </c>
      <c r="N11" s="10">
        <f t="shared" si="2"/>
        <v>0</v>
      </c>
      <c r="O11" s="114" t="str">
        <f t="shared" si="3"/>
        <v>N/A</v>
      </c>
      <c r="P11" s="114" t="str">
        <f t="shared" si="4"/>
        <v>N/A</v>
      </c>
      <c r="Q11" s="114">
        <f t="shared" si="5"/>
        <v>0</v>
      </c>
      <c r="R11" s="114">
        <f t="shared" si="9"/>
        <v>0</v>
      </c>
      <c r="S11" s="114">
        <f t="shared" si="6"/>
        <v>0</v>
      </c>
      <c r="T11" s="114">
        <f t="shared" si="7"/>
        <v>0</v>
      </c>
      <c r="U11" s="114">
        <f t="shared" si="10"/>
        <v>0</v>
      </c>
      <c r="V11" s="114">
        <f t="shared" si="8"/>
        <v>0</v>
      </c>
    </row>
    <row r="12" spans="1:22" ht="60">
      <c r="A12" s="10" t="str">
        <f>Questions!$A12</f>
        <v>COMP-01</v>
      </c>
      <c r="B12" s="10" t="str">
        <f t="shared" si="0"/>
        <v>COMP</v>
      </c>
      <c r="C12" s="10" t="str">
        <f>VLOOKUP($A12,Questions!$A$3:$L$333,2,0)&amp;""</f>
        <v>Do you have a dedicated software and system development team(s) (e.g., customer support, implementation, product management, etc.)?*</v>
      </c>
      <c r="D12" s="10" t="str">
        <f>VLOOKUP($A12,Questions!$A$3:$L$333,11,0)&amp;""</f>
        <v/>
      </c>
      <c r="E12" s="10" t="str">
        <f>VLOOKUP($A12,Questions!$A$3:$L$333,12,0)&amp;""</f>
        <v>Start Here</v>
      </c>
      <c r="F12" s="10" t="str">
        <f>VLOOKUP($A12,'Institution Evaluation'!$A$56:$K$346,3,0)&amp;""</f>
        <v>yes</v>
      </c>
      <c r="G12" s="10" t="str">
        <f>VLOOKUP($A12,'Institution Evaluation'!$A$56:$K$346,7,0)&amp;""</f>
        <v>Yes</v>
      </c>
      <c r="H12" s="10" t="str">
        <f>VLOOKUP($A12,'Institution Evaluation'!$A$56:$K$346,8,0)&amp;""</f>
        <v/>
      </c>
      <c r="I12" s="10" t="str">
        <f>VLOOKUP($A12,'Institution Evaluation'!$A$56:$K$346,9,0)&amp;""</f>
        <v>Critical Importance</v>
      </c>
      <c r="J12" s="10" t="str">
        <f>VLOOKUP($A12,'Institution Evaluation'!$A$56:$K$346,10,0)&amp;""</f>
        <v/>
      </c>
      <c r="K12" s="10">
        <f t="shared" si="1"/>
        <v>20</v>
      </c>
      <c r="L12" s="114">
        <f>IF($E12="Not Scored", "N/A",IF(AND($D12='Auto Responses'!$J$27,$H12=""),"N/A",IF(AND($D12='Auto Responses'!$J$27,$H12='Auto Responses'!$J$7),1,IF(AND($D12='Auto Responses'!$J$27,$H12='Auto Responses'!$J$8),0,IF(OR($F12=$G12,$H12='Auto Responses'!$J$7),1,0)))))</f>
        <v>1</v>
      </c>
      <c r="M12" s="10" t="str">
        <f>VLOOKUP($A12,'Institution Evaluation'!$A$56:$K$346,10,0)&amp;""</f>
        <v/>
      </c>
      <c r="N12" s="10">
        <f t="shared" si="2"/>
        <v>1</v>
      </c>
      <c r="O12" s="114">
        <f t="shared" si="3"/>
        <v>20</v>
      </c>
      <c r="P12" s="114">
        <f t="shared" si="4"/>
        <v>20</v>
      </c>
      <c r="Q12" s="114">
        <f t="shared" si="5"/>
        <v>0</v>
      </c>
      <c r="R12" s="114">
        <f t="shared" si="9"/>
        <v>0</v>
      </c>
      <c r="S12" s="114">
        <f t="shared" si="6"/>
        <v>0</v>
      </c>
      <c r="T12" s="114">
        <f t="shared" si="7"/>
        <v>1</v>
      </c>
      <c r="U12" s="114">
        <f t="shared" si="10"/>
        <v>1</v>
      </c>
      <c r="V12" s="114">
        <f t="shared" si="8"/>
        <v>1</v>
      </c>
    </row>
    <row r="13" spans="1:22" ht="60">
      <c r="A13" s="10" t="str">
        <f>Questions!$A13</f>
        <v>COMP-02</v>
      </c>
      <c r="B13" s="10" t="str">
        <f t="shared" si="0"/>
        <v>COMP</v>
      </c>
      <c r="C13" s="10" t="str">
        <f>VLOOKUP($A13,Questions!$A$3:$L$333,2,0)&amp;""</f>
        <v>Describe your organization’s business background and ownership structure, including all parent and subsidiary relationships.</v>
      </c>
      <c r="D13" s="10" t="str">
        <f>VLOOKUP($A13,Questions!$A$3:$L$333,11,0)&amp;""</f>
        <v/>
      </c>
      <c r="E13" s="10" t="str">
        <f>VLOOKUP($A13,Questions!$A$3:$L$333,12,0)&amp;""</f>
        <v>Not scored</v>
      </c>
      <c r="F13" s="10" t="str">
        <f>VLOOKUP($A13,'Institution Evaluation'!$A$56:$K$346,3,0)&amp;""</f>
        <v/>
      </c>
      <c r="G13" s="10" t="str">
        <f>VLOOKUP($A13,'Institution Evaluation'!$A$56:$K$346,7,0)&amp;""</f>
        <v>Not scored</v>
      </c>
      <c r="H13" s="10" t="str">
        <f>VLOOKUP($A13,'Institution Evaluation'!$A$56:$K$346,8,0)&amp;""</f>
        <v/>
      </c>
      <c r="I13" s="10" t="str">
        <f>VLOOKUP($A13,'Institution Evaluation'!$A$56:$K$346,9,0)&amp;""</f>
        <v>Minor Importance</v>
      </c>
      <c r="J13" s="10" t="str">
        <f>VLOOKUP($A13,'Institution Evaluation'!$A$56:$K$346,10,0)&amp;""</f>
        <v/>
      </c>
      <c r="K13" s="10">
        <f t="shared" si="1"/>
        <v>5</v>
      </c>
      <c r="L13" s="114" t="str">
        <f>IF($E13="Not Scored", "N/A",IF(AND($D13='Auto Responses'!$J$27,$H13=""),"N/A",IF(AND($D13='Auto Responses'!$J$27,$H13='Auto Responses'!$J$7),1,IF(AND($D13='Auto Responses'!$J$27,$H13='Auto Responses'!$J$8),0,IF(OR($F13=$G13,$H13='Auto Responses'!$J$7),1,0)))))</f>
        <v>N/A</v>
      </c>
      <c r="M13" s="10" t="str">
        <f>VLOOKUP($A13,'Institution Evaluation'!$A$56:$K$346,10,0)&amp;""</f>
        <v/>
      </c>
      <c r="N13" s="10">
        <f t="shared" si="2"/>
        <v>0</v>
      </c>
      <c r="O13" s="114" t="str">
        <f t="shared" si="3"/>
        <v>N/A</v>
      </c>
      <c r="P13" s="114" t="str">
        <f t="shared" si="4"/>
        <v>N/A</v>
      </c>
      <c r="Q13" s="114">
        <f t="shared" si="5"/>
        <v>0</v>
      </c>
      <c r="R13" s="114">
        <f t="shared" si="9"/>
        <v>0</v>
      </c>
      <c r="S13" s="114">
        <f t="shared" si="6"/>
        <v>0</v>
      </c>
      <c r="T13" s="114">
        <f t="shared" si="7"/>
        <v>0</v>
      </c>
      <c r="U13" s="114">
        <f t="shared" si="10"/>
        <v>1</v>
      </c>
      <c r="V13" s="114">
        <f t="shared" si="8"/>
        <v>0</v>
      </c>
    </row>
    <row r="14" spans="1:22" ht="60">
      <c r="A14" s="10" t="str">
        <f>Questions!$A14</f>
        <v>COMP-03</v>
      </c>
      <c r="B14" s="10" t="str">
        <f t="shared" si="0"/>
        <v>COMP</v>
      </c>
      <c r="C14" s="10" t="str">
        <f>VLOOKUP($A14,Questions!$A$3:$L$333,2,0)&amp;""</f>
        <v>Have you operated without unplanned disruptions to this solution in the past 12 months?</v>
      </c>
      <c r="D14" s="10" t="str">
        <f>VLOOKUP($A14,Questions!$A$3:$L$333,11,0)&amp;""</f>
        <v/>
      </c>
      <c r="E14" s="10" t="str">
        <f>VLOOKUP($A14,Questions!$A$3:$L$333,12,0)&amp;""</f>
        <v>Start Here</v>
      </c>
      <c r="F14" s="10" t="str">
        <f>VLOOKUP($A14,'Institution Evaluation'!$A$56:$K$346,3,0)&amp;""</f>
        <v>yes</v>
      </c>
      <c r="G14" s="10" t="str">
        <f>VLOOKUP($A14,'Institution Evaluation'!$A$56:$K$346,7,0)&amp;""</f>
        <v>Yes</v>
      </c>
      <c r="H14" s="10" t="str">
        <f>VLOOKUP($A14,'Institution Evaluation'!$A$56:$K$346,8,0)&amp;""</f>
        <v/>
      </c>
      <c r="I14" s="10" t="str">
        <f>VLOOKUP($A14,'Institution Evaluation'!$A$56:$K$346,9,0)&amp;""</f>
        <v>Minor Importance</v>
      </c>
      <c r="J14" s="10" t="str">
        <f>VLOOKUP($A14,'Institution Evaluation'!$A$56:$K$346,10,0)&amp;""</f>
        <v/>
      </c>
      <c r="K14" s="10">
        <f t="shared" si="1"/>
        <v>5</v>
      </c>
      <c r="L14" s="114">
        <f>IF($E14="Not Scored", "N/A",IF(AND($D14='Auto Responses'!$J$27,$H14=""),"N/A",IF(AND($D14='Auto Responses'!$J$27,$H14='Auto Responses'!$J$7),1,IF(AND($D14='Auto Responses'!$J$27,$H14='Auto Responses'!$J$8),0,IF(OR($F14=$G14,$H14='Auto Responses'!$J$7),1,0)))))</f>
        <v>1</v>
      </c>
      <c r="M14" s="10" t="str">
        <f>VLOOKUP($A14,'Institution Evaluation'!$A$56:$K$346,10,0)&amp;""</f>
        <v/>
      </c>
      <c r="N14" s="10">
        <f t="shared" si="2"/>
        <v>0</v>
      </c>
      <c r="O14" s="114">
        <f t="shared" si="3"/>
        <v>5</v>
      </c>
      <c r="P14" s="114">
        <f t="shared" si="4"/>
        <v>5</v>
      </c>
      <c r="Q14" s="114">
        <f t="shared" si="5"/>
        <v>0</v>
      </c>
      <c r="R14" s="114">
        <f t="shared" si="9"/>
        <v>0</v>
      </c>
      <c r="S14" s="114">
        <f t="shared" si="6"/>
        <v>0</v>
      </c>
      <c r="T14" s="114">
        <f t="shared" si="7"/>
        <v>0</v>
      </c>
      <c r="U14" s="114">
        <f t="shared" si="10"/>
        <v>1</v>
      </c>
      <c r="V14" s="114">
        <f t="shared" si="8"/>
        <v>0</v>
      </c>
    </row>
    <row r="15" spans="1:22" ht="60">
      <c r="A15" s="10" t="str">
        <f>Questions!$A15</f>
        <v>COMP-04</v>
      </c>
      <c r="B15" s="10" t="str">
        <f t="shared" si="0"/>
        <v>COMP</v>
      </c>
      <c r="C15" s="10" t="str">
        <f>VLOOKUP($A15,Questions!$A$3:$L$333,2,0)&amp;""</f>
        <v>Do you have a dedicated information security staff or office?</v>
      </c>
      <c r="D15" s="10" t="str">
        <f>VLOOKUP($A15,Questions!$A$3:$L$333,11,0)&amp;""</f>
        <v/>
      </c>
      <c r="E15" s="10" t="str">
        <f>VLOOKUP($A15,Questions!$A$3:$L$333,12,0)&amp;""</f>
        <v>Start Here</v>
      </c>
      <c r="F15" s="10" t="str">
        <f>VLOOKUP($A15,'Institution Evaluation'!$A$56:$K$346,3,0)&amp;""</f>
        <v>no</v>
      </c>
      <c r="G15" s="10" t="str">
        <f>VLOOKUP($A15,'Institution Evaluation'!$A$56:$K$346,7,0)&amp;""</f>
        <v>Yes</v>
      </c>
      <c r="H15" s="10" t="str">
        <f>VLOOKUP($A15,'Institution Evaluation'!$A$56:$K$346,8,0)&amp;""</f>
        <v/>
      </c>
      <c r="I15" s="10" t="str">
        <f>VLOOKUP($A15,'Institution Evaluation'!$A$56:$K$346,9,0)&amp;""</f>
        <v>Minor Importance</v>
      </c>
      <c r="J15" s="10" t="str">
        <f>VLOOKUP($A15,'Institution Evaluation'!$A$56:$K$346,10,0)&amp;""</f>
        <v/>
      </c>
      <c r="K15" s="10">
        <f t="shared" si="1"/>
        <v>5</v>
      </c>
      <c r="L15" s="114">
        <f>IF($E15="Not Scored", "N/A",IF(AND($D15='Auto Responses'!$J$27,$H15=""),"N/A",IF(AND($D15='Auto Responses'!$J$27,$H15='Auto Responses'!$J$7),1,IF(AND($D15='Auto Responses'!$J$27,$H15='Auto Responses'!$J$8),0,IF(OR($F15=$G15,$H15='Auto Responses'!$J$7),1,0)))))</f>
        <v>0</v>
      </c>
      <c r="M15" s="10" t="str">
        <f>VLOOKUP($A15,'Institution Evaluation'!$A$56:$K$346,10,0)&amp;""</f>
        <v/>
      </c>
      <c r="N15" s="10">
        <f t="shared" si="2"/>
        <v>0</v>
      </c>
      <c r="O15" s="114">
        <f t="shared" si="3"/>
        <v>5</v>
      </c>
      <c r="P15" s="114">
        <f t="shared" si="4"/>
        <v>0</v>
      </c>
      <c r="Q15" s="114">
        <f t="shared" si="5"/>
        <v>0</v>
      </c>
      <c r="R15" s="114">
        <f t="shared" si="9"/>
        <v>0</v>
      </c>
      <c r="S15" s="114">
        <f t="shared" si="6"/>
        <v>0</v>
      </c>
      <c r="T15" s="114">
        <f t="shared" si="7"/>
        <v>0</v>
      </c>
      <c r="U15" s="114">
        <f t="shared" si="10"/>
        <v>1</v>
      </c>
      <c r="V15" s="114">
        <f t="shared" si="8"/>
        <v>0</v>
      </c>
    </row>
    <row r="16" spans="1:22" ht="60">
      <c r="A16" s="10" t="str">
        <f>Questions!$A16</f>
        <v>COMP-05</v>
      </c>
      <c r="B16" s="10" t="str">
        <f t="shared" si="0"/>
        <v>COMP</v>
      </c>
      <c r="C16" s="10" t="str">
        <f>VLOOKUP($A16,Questions!$A$3:$L$333,2,0)&amp;""</f>
        <v>Use this area to share information about your environment that will assist those who are assessing your company's data security program.</v>
      </c>
      <c r="D16" s="10" t="str">
        <f>VLOOKUP($A16,Questions!$A$3:$L$333,11,0)&amp;""</f>
        <v/>
      </c>
      <c r="E16" s="10" t="str">
        <f>VLOOKUP($A16,Questions!$A$3:$L$333,12,0)&amp;""</f>
        <v>Not Scored</v>
      </c>
      <c r="F16" s="10" t="str">
        <f>VLOOKUP($A16,'Institution Evaluation'!$A$56:$K$346,3,0)&amp;""</f>
        <v/>
      </c>
      <c r="G16" s="10" t="str">
        <f>VLOOKUP($A16,'Institution Evaluation'!$A$56:$K$346,7,0)&amp;""</f>
        <v>Not scored</v>
      </c>
      <c r="H16" s="10" t="str">
        <f>VLOOKUP($A16,'Institution Evaluation'!$A$56:$K$346,8,0)&amp;""</f>
        <v/>
      </c>
      <c r="I16" s="10" t="str">
        <f>VLOOKUP($A16,'Institution Evaluation'!$A$56:$K$346,9,0)&amp;""</f>
        <v>Minor Importance</v>
      </c>
      <c r="J16" s="10" t="str">
        <f>VLOOKUP($A16,'Institution Evaluation'!$A$56:$K$346,10,0)&amp;""</f>
        <v/>
      </c>
      <c r="K16" s="10">
        <f t="shared" si="1"/>
        <v>5</v>
      </c>
      <c r="L16" s="114" t="str">
        <f>IF($E16="Not Scored", "N/A",IF(AND($D16='Auto Responses'!$J$27,$H16=""),"N/A",IF(AND($D16='Auto Responses'!$J$27,$H16='Auto Responses'!$J$7),1,IF(AND($D16='Auto Responses'!$J$27,$H16='Auto Responses'!$J$8),0,IF(OR($F16=$G16,$H16='Auto Responses'!$J$7),1,0)))))</f>
        <v>N/A</v>
      </c>
      <c r="M16" s="10" t="str">
        <f>VLOOKUP($A16,'Institution Evaluation'!$A$56:$K$346,10,0)&amp;""</f>
        <v/>
      </c>
      <c r="N16" s="10">
        <f t="shared" si="2"/>
        <v>0</v>
      </c>
      <c r="O16" s="114" t="str">
        <f t="shared" si="3"/>
        <v>N/A</v>
      </c>
      <c r="P16" s="114" t="str">
        <f t="shared" si="4"/>
        <v>N/A</v>
      </c>
      <c r="Q16" s="114">
        <f t="shared" si="5"/>
        <v>0</v>
      </c>
      <c r="R16" s="114">
        <f t="shared" si="9"/>
        <v>0</v>
      </c>
      <c r="S16" s="114">
        <f t="shared" si="6"/>
        <v>0</v>
      </c>
      <c r="T16" s="114">
        <f t="shared" si="7"/>
        <v>0</v>
      </c>
      <c r="U16" s="114">
        <f t="shared" si="10"/>
        <v>1</v>
      </c>
      <c r="V16" s="114">
        <f t="shared" si="8"/>
        <v>0</v>
      </c>
    </row>
    <row r="17" spans="1:22" ht="60">
      <c r="A17" s="10" t="str">
        <f>Questions!$A17</f>
        <v>REQU-01</v>
      </c>
      <c r="B17" s="10" t="str">
        <f t="shared" si="0"/>
        <v>REQU</v>
      </c>
      <c r="C17" s="10" t="str">
        <f>VLOOKUP($A17,Questions!$A$3:$L$333,2,0)&amp;""</f>
        <v>Are you offering either a product or platform, as opposed to only offering a service</v>
      </c>
      <c r="D17" s="10" t="str">
        <f>VLOOKUP($A17,Questions!$A$3:$L$333,11,0)&amp;""</f>
        <v>NA</v>
      </c>
      <c r="E17" s="10" t="str">
        <f>VLOOKUP($A17,Questions!$A$3:$L$333,12,0)&amp;""</f>
        <v>Not Scored</v>
      </c>
      <c r="F17" s="10" t="str">
        <f>VLOOKUP($A17,'Institution Evaluation'!$A$56:$K$346,3,0)&amp;""</f>
        <v>Yes</v>
      </c>
      <c r="G17" s="10" t="str">
        <f>VLOOKUP($A17,'Institution Evaluation'!$A$56:$K$346,7,0)&amp;""</f>
        <v>Not scored</v>
      </c>
      <c r="H17" s="10" t="str">
        <f>VLOOKUP($A17,'Institution Evaluation'!$A$56:$K$346,8,0)&amp;""</f>
        <v/>
      </c>
      <c r="I17" s="10" t="str">
        <f>VLOOKUP($A17,'Institution Evaluation'!$A$56:$K$346,9,0)&amp;""</f>
        <v/>
      </c>
      <c r="J17" s="10" t="str">
        <f>VLOOKUP($A17,'Institution Evaluation'!$A$56:$K$346,10,0)&amp;""</f>
        <v/>
      </c>
      <c r="K17" s="10">
        <f t="shared" si="1"/>
        <v>10</v>
      </c>
      <c r="L17" s="114" t="str">
        <f>IF($E17="Not Scored", "N/A",IF(AND($D17='Auto Responses'!$J$27,$H17=""),"N/A",IF(AND($D17='Auto Responses'!$J$27,$H17='Auto Responses'!$J$7),1,IF(AND($D17='Auto Responses'!$J$27,$H17='Auto Responses'!$J$8),0,IF(OR($F17=$G17,$H17='Auto Responses'!$J$7),1,0)))))</f>
        <v>N/A</v>
      </c>
      <c r="M17" s="10" t="str">
        <f>VLOOKUP($A17,'Institution Evaluation'!$A$56:$K$346,10,0)&amp;""</f>
        <v/>
      </c>
      <c r="N17" s="10">
        <f t="shared" si="2"/>
        <v>0</v>
      </c>
      <c r="O17" s="114" t="str">
        <f t="shared" si="3"/>
        <v>N/A</v>
      </c>
      <c r="P17" s="114" t="str">
        <f t="shared" si="4"/>
        <v>N/A</v>
      </c>
      <c r="Q17" s="114">
        <f t="shared" si="5"/>
        <v>0</v>
      </c>
      <c r="R17" s="114">
        <f t="shared" si="9"/>
        <v>0</v>
      </c>
      <c r="S17" s="114">
        <f t="shared" si="6"/>
        <v>0</v>
      </c>
      <c r="T17" s="114">
        <f t="shared" si="7"/>
        <v>0</v>
      </c>
      <c r="U17" s="114">
        <f t="shared" si="10"/>
        <v>1</v>
      </c>
      <c r="V17" s="114">
        <f t="shared" si="8"/>
        <v>0</v>
      </c>
    </row>
    <row r="18" spans="1:22" ht="60">
      <c r="A18" s="10" t="str">
        <f>Questions!$A18</f>
        <v>REQU-02</v>
      </c>
      <c r="B18" s="10" t="str">
        <f t="shared" si="0"/>
        <v>REQU</v>
      </c>
      <c r="C18" s="10" t="str">
        <f>VLOOKUP($A18,Questions!$A$3:$L$333,2,0)&amp;""</f>
        <v>Does your product or service have an interface?</v>
      </c>
      <c r="D18" s="10" t="str">
        <f>VLOOKUP($A18,Questions!$A$3:$L$333,11,0)&amp;""</f>
        <v>NA</v>
      </c>
      <c r="E18" s="10" t="str">
        <f>VLOOKUP($A18,Questions!$A$3:$L$333,12,0)&amp;""</f>
        <v>Not Scored</v>
      </c>
      <c r="F18" s="10" t="str">
        <f>VLOOKUP($A18,'Institution Evaluation'!$A$56:$K$346,3,0)&amp;""</f>
        <v>yes</v>
      </c>
      <c r="G18" s="10" t="str">
        <f>VLOOKUP($A18,'Institution Evaluation'!$A$56:$K$346,7,0)&amp;""</f>
        <v>Not scored</v>
      </c>
      <c r="H18" s="10" t="str">
        <f>VLOOKUP($A18,'Institution Evaluation'!$A$56:$K$346,8,0)&amp;""</f>
        <v/>
      </c>
      <c r="I18" s="10" t="str">
        <f>VLOOKUP($A18,'Institution Evaluation'!$A$56:$K$346,9,0)&amp;""</f>
        <v/>
      </c>
      <c r="J18" s="10" t="str">
        <f>VLOOKUP($A18,'Institution Evaluation'!$A$56:$K$346,10,0)&amp;""</f>
        <v/>
      </c>
      <c r="K18" s="10">
        <f t="shared" si="1"/>
        <v>10</v>
      </c>
      <c r="L18" s="114" t="str">
        <f>IF($E18="Not Scored", "N/A",IF(AND($D18='Auto Responses'!$J$27,$H18=""),"N/A",IF(AND($D18='Auto Responses'!$J$27,$H18='Auto Responses'!$J$7),1,IF(AND($D18='Auto Responses'!$J$27,$H18='Auto Responses'!$J$8),0,IF(OR($F18=$G18,$H18='Auto Responses'!$J$7),1,0)))))</f>
        <v>N/A</v>
      </c>
      <c r="M18" s="10" t="str">
        <f>VLOOKUP($A18,'Institution Evaluation'!$A$56:$K$346,10,0)&amp;""</f>
        <v/>
      </c>
      <c r="N18" s="10">
        <f t="shared" si="2"/>
        <v>0</v>
      </c>
      <c r="O18" s="114" t="str">
        <f t="shared" si="3"/>
        <v>N/A</v>
      </c>
      <c r="P18" s="114" t="str">
        <f t="shared" si="4"/>
        <v>N/A</v>
      </c>
      <c r="Q18" s="114">
        <f t="shared" si="5"/>
        <v>0</v>
      </c>
      <c r="R18" s="114">
        <f t="shared" si="9"/>
        <v>0</v>
      </c>
      <c r="S18" s="114">
        <f t="shared" si="6"/>
        <v>0</v>
      </c>
      <c r="T18" s="114">
        <f t="shared" si="7"/>
        <v>0</v>
      </c>
      <c r="U18" s="114">
        <f t="shared" si="10"/>
        <v>1</v>
      </c>
      <c r="V18" s="114">
        <f t="shared" si="8"/>
        <v>0</v>
      </c>
    </row>
    <row r="19" spans="1:22" ht="60">
      <c r="A19" s="10" t="str">
        <f>Questions!$A19</f>
        <v>REQU-03</v>
      </c>
      <c r="B19" s="10" t="str">
        <f t="shared" si="0"/>
        <v>REQU</v>
      </c>
      <c r="C19" s="10" t="str">
        <f>VLOOKUP($A19,Questions!$A$3:$L$333,2,0)&amp;""</f>
        <v>Are you providing consulting services?</v>
      </c>
      <c r="D19" s="10" t="str">
        <f>VLOOKUP($A19,Questions!$A$3:$L$333,11,0)&amp;""</f>
        <v>NA</v>
      </c>
      <c r="E19" s="10" t="str">
        <f>VLOOKUP($A19,Questions!$A$3:$L$333,12,0)&amp;""</f>
        <v>Not Scored</v>
      </c>
      <c r="F19" s="10" t="str">
        <f>VLOOKUP($A19,'Institution Evaluation'!$A$56:$K$346,3,0)&amp;""</f>
        <v>no</v>
      </c>
      <c r="G19" s="10" t="str">
        <f>VLOOKUP($A19,'Institution Evaluation'!$A$56:$K$346,7,0)&amp;""</f>
        <v>Not scored</v>
      </c>
      <c r="H19" s="10" t="str">
        <f>VLOOKUP($A19,'Institution Evaluation'!$A$56:$K$346,8,0)&amp;""</f>
        <v/>
      </c>
      <c r="I19" s="10" t="str">
        <f>VLOOKUP($A19,'Institution Evaluation'!$A$56:$K$346,9,0)&amp;""</f>
        <v/>
      </c>
      <c r="J19" s="10" t="str">
        <f>VLOOKUP($A19,'Institution Evaluation'!$A$56:$K$346,10,0)&amp;""</f>
        <v/>
      </c>
      <c r="K19" s="10">
        <f t="shared" si="1"/>
        <v>10</v>
      </c>
      <c r="L19" s="114" t="str">
        <f>IF($E19="Not Scored", "N/A",IF(AND($D19='Auto Responses'!$J$27,$H19=""),"N/A",IF(AND($D19='Auto Responses'!$J$27,$H19='Auto Responses'!$J$7),1,IF(AND($D19='Auto Responses'!$J$27,$H19='Auto Responses'!$J$8),0,IF(OR($F19=$G19,$H19='Auto Responses'!$J$7),1,0)))))</f>
        <v>N/A</v>
      </c>
      <c r="M19" s="10" t="str">
        <f>VLOOKUP($A19,'Institution Evaluation'!$A$56:$K$346,10,0)&amp;""</f>
        <v/>
      </c>
      <c r="N19" s="10">
        <f t="shared" si="2"/>
        <v>0</v>
      </c>
      <c r="O19" s="114" t="str">
        <f t="shared" si="3"/>
        <v>N/A</v>
      </c>
      <c r="P19" s="114" t="str">
        <f t="shared" si="4"/>
        <v>N/A</v>
      </c>
      <c r="Q19" s="114">
        <f t="shared" si="5"/>
        <v>0</v>
      </c>
      <c r="R19" s="114">
        <f t="shared" si="9"/>
        <v>0</v>
      </c>
      <c r="S19" s="114">
        <f t="shared" si="6"/>
        <v>0</v>
      </c>
      <c r="T19" s="114">
        <f t="shared" si="7"/>
        <v>0</v>
      </c>
      <c r="U19" s="114">
        <f t="shared" si="10"/>
        <v>1</v>
      </c>
      <c r="V19" s="114">
        <f t="shared" si="8"/>
        <v>0</v>
      </c>
    </row>
    <row r="20" spans="1:22" ht="60">
      <c r="A20" s="10" t="str">
        <f>Questions!$A20</f>
        <v>REQU-04</v>
      </c>
      <c r="B20" s="10" t="str">
        <f t="shared" si="0"/>
        <v>REQU</v>
      </c>
      <c r="C20" s="10" t="str">
        <f>VLOOKUP($A20,Questions!$A$3:$L$333,2,0)&amp;""</f>
        <v>Does your solution have AI features, or are there plans to implement AI features in the next 12 months?</v>
      </c>
      <c r="D20" s="10" t="str">
        <f>VLOOKUP($A20,Questions!$A$3:$L$333,11,0)&amp;""</f>
        <v>NA</v>
      </c>
      <c r="E20" s="10" t="str">
        <f>VLOOKUP($A20,Questions!$A$3:$L$333,12,0)&amp;""</f>
        <v>Not Scored</v>
      </c>
      <c r="F20" s="10" t="str">
        <f>VLOOKUP($A20,'Institution Evaluation'!$A$56:$K$346,3,0)&amp;""</f>
        <v>no</v>
      </c>
      <c r="G20" s="10" t="str">
        <f>VLOOKUP($A20,'Institution Evaluation'!$A$56:$K$346,7,0)&amp;""</f>
        <v>Not scored</v>
      </c>
      <c r="H20" s="10" t="str">
        <f>VLOOKUP($A20,'Institution Evaluation'!$A$56:$K$346,8,0)&amp;""</f>
        <v/>
      </c>
      <c r="I20" s="10" t="str">
        <f>VLOOKUP($A20,'Institution Evaluation'!$A$56:$K$346,9,0)&amp;""</f>
        <v/>
      </c>
      <c r="J20" s="10" t="str">
        <f>VLOOKUP($A20,'Institution Evaluation'!$A$56:$K$346,10,0)&amp;""</f>
        <v/>
      </c>
      <c r="K20" s="10">
        <f t="shared" si="1"/>
        <v>10</v>
      </c>
      <c r="L20" s="114" t="str">
        <f>IF($E20="Not Scored", "N/A",IF(AND($D20='Auto Responses'!$J$27,$H20=""),"N/A",IF(AND($D20='Auto Responses'!$J$27,$H20='Auto Responses'!$J$7),1,IF(AND($D20='Auto Responses'!$J$27,$H20='Auto Responses'!$J$8),0,IF(OR($F20=$G20,$H20='Auto Responses'!$J$7),1,0)))))</f>
        <v>N/A</v>
      </c>
      <c r="M20" s="10" t="str">
        <f>VLOOKUP($A20,'Institution Evaluation'!$A$56:$K$346,10,0)&amp;""</f>
        <v/>
      </c>
      <c r="N20" s="10">
        <f t="shared" si="2"/>
        <v>0</v>
      </c>
      <c r="O20" s="114" t="str">
        <f t="shared" si="3"/>
        <v>N/A</v>
      </c>
      <c r="P20" s="114" t="str">
        <f t="shared" si="4"/>
        <v>N/A</v>
      </c>
      <c r="Q20" s="114">
        <f t="shared" si="5"/>
        <v>0</v>
      </c>
      <c r="R20" s="114">
        <f t="shared" si="9"/>
        <v>0</v>
      </c>
      <c r="S20" s="114">
        <f t="shared" si="6"/>
        <v>0</v>
      </c>
      <c r="T20" s="114">
        <f t="shared" si="7"/>
        <v>0</v>
      </c>
      <c r="U20" s="114">
        <f t="shared" si="10"/>
        <v>1</v>
      </c>
      <c r="V20" s="114">
        <f t="shared" si="8"/>
        <v>0</v>
      </c>
    </row>
    <row r="21" spans="1:22" ht="60">
      <c r="A21" s="10" t="str">
        <f>Questions!$A21</f>
        <v>REQU-05</v>
      </c>
      <c r="B21" s="10" t="str">
        <f t="shared" si="0"/>
        <v>REQU</v>
      </c>
      <c r="C21" s="10" t="str">
        <f>VLOOKUP($A21,Questions!$A$3:$L$333,2,0)&amp;""</f>
        <v>Does your solution process protected health information (PHI) or any data covered by the Health Insurance Portability and Accountability Act (HIPAA)?</v>
      </c>
      <c r="D21" s="10" t="str">
        <f>VLOOKUP($A21,Questions!$A$3:$L$333,11,0)&amp;""</f>
        <v>NA</v>
      </c>
      <c r="E21" s="10" t="str">
        <f>VLOOKUP($A21,Questions!$A$3:$L$333,12,0)&amp;""</f>
        <v>Not Scored</v>
      </c>
      <c r="F21" s="10" t="str">
        <f>VLOOKUP($A21,'Institution Evaluation'!$A$56:$K$346,3,0)&amp;""</f>
        <v>no</v>
      </c>
      <c r="G21" s="10" t="str">
        <f>VLOOKUP($A21,'Institution Evaluation'!$A$56:$K$346,7,0)&amp;""</f>
        <v>Not scored</v>
      </c>
      <c r="H21" s="10" t="str">
        <f>VLOOKUP($A21,'Institution Evaluation'!$A$56:$K$346,8,0)&amp;""</f>
        <v/>
      </c>
      <c r="I21" s="10" t="str">
        <f>VLOOKUP($A21,'Institution Evaluation'!$A$56:$K$346,9,0)&amp;""</f>
        <v/>
      </c>
      <c r="J21" s="10" t="str">
        <f>VLOOKUP($A21,'Institution Evaluation'!$A$56:$K$346,10,0)&amp;""</f>
        <v/>
      </c>
      <c r="K21" s="10">
        <f t="shared" si="1"/>
        <v>10</v>
      </c>
      <c r="L21" s="114" t="str">
        <f>IF($E21="Not Scored", "N/A",IF(AND($D21='Auto Responses'!$J$27,$H21=""),"N/A",IF(AND($D21='Auto Responses'!$J$27,$H21='Auto Responses'!$J$7),1,IF(AND($D21='Auto Responses'!$J$27,$H21='Auto Responses'!$J$8),0,IF(OR($F21=$G21,$H21='Auto Responses'!$J$7),1,0)))))</f>
        <v>N/A</v>
      </c>
      <c r="M21" s="10" t="str">
        <f>VLOOKUP($A21,'Institution Evaluation'!$A$56:$K$346,10,0)&amp;""</f>
        <v/>
      </c>
      <c r="N21" s="10">
        <f t="shared" si="2"/>
        <v>0</v>
      </c>
      <c r="O21" s="114" t="str">
        <f t="shared" si="3"/>
        <v>N/A</v>
      </c>
      <c r="P21" s="114" t="str">
        <f t="shared" si="4"/>
        <v>N/A</v>
      </c>
      <c r="Q21" s="114">
        <f t="shared" si="5"/>
        <v>0</v>
      </c>
      <c r="R21" s="114">
        <f t="shared" si="9"/>
        <v>0</v>
      </c>
      <c r="S21" s="114">
        <f t="shared" si="6"/>
        <v>0</v>
      </c>
      <c r="T21" s="114">
        <f t="shared" si="7"/>
        <v>0</v>
      </c>
      <c r="U21" s="114">
        <f t="shared" si="10"/>
        <v>1</v>
      </c>
      <c r="V21" s="114">
        <f t="shared" si="8"/>
        <v>0</v>
      </c>
    </row>
    <row r="22" spans="1:22" ht="60">
      <c r="A22" s="10" t="str">
        <f>Questions!$A22</f>
        <v>REQU-06</v>
      </c>
      <c r="B22" s="10" t="str">
        <f t="shared" si="0"/>
        <v>REQU</v>
      </c>
      <c r="C22" s="10" t="str">
        <f>VLOOKUP($A22,Questions!$A$3:$L$333,2,0)&amp;""</f>
        <v>Is the solution designed to process, store, or transmit credit card information?</v>
      </c>
      <c r="D22" s="10" t="str">
        <f>VLOOKUP($A22,Questions!$A$3:$L$333,11,0)&amp;""</f>
        <v>NA</v>
      </c>
      <c r="E22" s="10" t="str">
        <f>VLOOKUP($A22,Questions!$A$3:$L$333,12,0)&amp;""</f>
        <v>Not Scored</v>
      </c>
      <c r="F22" s="10" t="str">
        <f>VLOOKUP($A22,'Institution Evaluation'!$A$56:$K$346,3,0)&amp;""</f>
        <v>no</v>
      </c>
      <c r="G22" s="10" t="str">
        <f>VLOOKUP($A22,'Institution Evaluation'!$A$56:$K$346,7,0)&amp;""</f>
        <v>Not scored</v>
      </c>
      <c r="H22" s="10" t="str">
        <f>VLOOKUP($A22,'Institution Evaluation'!$A$56:$K$346,8,0)&amp;""</f>
        <v/>
      </c>
      <c r="I22" s="10" t="str">
        <f>VLOOKUP($A22,'Institution Evaluation'!$A$56:$K$346,9,0)&amp;""</f>
        <v/>
      </c>
      <c r="J22" s="10" t="str">
        <f>VLOOKUP($A22,'Institution Evaluation'!$A$56:$K$346,10,0)&amp;""</f>
        <v/>
      </c>
      <c r="K22" s="10">
        <f t="shared" si="1"/>
        <v>10</v>
      </c>
      <c r="L22" s="114" t="str">
        <f>IF($E22="Not Scored", "N/A",IF(AND($D22='Auto Responses'!$J$27,$H22=""),"N/A",IF(AND($D22='Auto Responses'!$J$27,$H22='Auto Responses'!$J$7),1,IF(AND($D22='Auto Responses'!$J$27,$H22='Auto Responses'!$J$8),0,IF(OR($F22=$G22,$H22='Auto Responses'!$J$7),1,0)))))</f>
        <v>N/A</v>
      </c>
      <c r="M22" s="10" t="str">
        <f>VLOOKUP($A22,'Institution Evaluation'!$A$56:$K$346,10,0)&amp;""</f>
        <v/>
      </c>
      <c r="N22" s="10">
        <f t="shared" si="2"/>
        <v>0</v>
      </c>
      <c r="O22" s="114" t="str">
        <f t="shared" si="3"/>
        <v>N/A</v>
      </c>
      <c r="P22" s="114" t="str">
        <f t="shared" si="4"/>
        <v>N/A</v>
      </c>
      <c r="Q22" s="114">
        <f t="shared" si="5"/>
        <v>0</v>
      </c>
      <c r="R22" s="114">
        <f t="shared" si="9"/>
        <v>0</v>
      </c>
      <c r="S22" s="114">
        <f t="shared" si="6"/>
        <v>0</v>
      </c>
      <c r="T22" s="114">
        <f t="shared" si="7"/>
        <v>0</v>
      </c>
      <c r="U22" s="114">
        <f t="shared" si="10"/>
        <v>1</v>
      </c>
      <c r="V22" s="114">
        <f t="shared" si="8"/>
        <v>0</v>
      </c>
    </row>
    <row r="23" spans="1:22" ht="75">
      <c r="A23" s="10" t="str">
        <f>Questions!$A23</f>
        <v>REQU-07</v>
      </c>
      <c r="B23" s="10" t="str">
        <f t="shared" si="0"/>
        <v>REQU</v>
      </c>
      <c r="C23" s="10"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10" t="str">
        <f>VLOOKUP($A23,Questions!$A$3:$L$333,11,0)&amp;""</f>
        <v>NA</v>
      </c>
      <c r="E23" s="10" t="str">
        <f>VLOOKUP($A23,Questions!$A$3:$L$333,12,0)&amp;""</f>
        <v>Not Scored</v>
      </c>
      <c r="F23" s="10" t="str">
        <f>VLOOKUP($A23,'Institution Evaluation'!$A$56:$K$346,3,0)&amp;""</f>
        <v>no</v>
      </c>
      <c r="G23" s="10" t="str">
        <f>VLOOKUP($A23,'Institution Evaluation'!$A$56:$K$346,7,0)&amp;""</f>
        <v>Not scored</v>
      </c>
      <c r="H23" s="10" t="str">
        <f>VLOOKUP($A23,'Institution Evaluation'!$A$56:$K$346,8,0)&amp;""</f>
        <v/>
      </c>
      <c r="I23" s="10" t="str">
        <f>VLOOKUP($A23,'Institution Evaluation'!$A$56:$K$346,9,0)&amp;""</f>
        <v/>
      </c>
      <c r="J23" s="10" t="str">
        <f>VLOOKUP($A23,'Institution Evaluation'!$A$56:$K$346,10,0)&amp;""</f>
        <v/>
      </c>
      <c r="K23" s="10">
        <f t="shared" si="1"/>
        <v>10</v>
      </c>
      <c r="L23" s="114" t="str">
        <f>IF($E23="Not Scored", "N/A",IF(AND($D23='Auto Responses'!$J$27,$H23=""),"N/A",IF(AND($D23='Auto Responses'!$J$27,$H23='Auto Responses'!$J$7),1,IF(AND($D23='Auto Responses'!$J$27,$H23='Auto Responses'!$J$8),0,IF(OR($F23=$G23,$H23='Auto Responses'!$J$7),1,0)))))</f>
        <v>N/A</v>
      </c>
      <c r="M23" s="10" t="str">
        <f>VLOOKUP($A23,'Institution Evaluation'!$A$56:$K$346,10,0)&amp;""</f>
        <v/>
      </c>
      <c r="N23" s="10">
        <f t="shared" si="2"/>
        <v>0</v>
      </c>
      <c r="O23" s="114" t="str">
        <f t="shared" si="3"/>
        <v>N/A</v>
      </c>
      <c r="P23" s="114" t="str">
        <f t="shared" si="4"/>
        <v>N/A</v>
      </c>
      <c r="Q23" s="114">
        <f t="shared" si="5"/>
        <v>0</v>
      </c>
      <c r="R23" s="114">
        <f t="shared" si="9"/>
        <v>0</v>
      </c>
      <c r="S23" s="114">
        <f t="shared" si="6"/>
        <v>0</v>
      </c>
      <c r="T23" s="114">
        <f t="shared" si="7"/>
        <v>0</v>
      </c>
      <c r="U23" s="114">
        <f t="shared" si="10"/>
        <v>1</v>
      </c>
      <c r="V23" s="114">
        <f t="shared" si="8"/>
        <v>0</v>
      </c>
    </row>
    <row r="24" spans="1:22" ht="60">
      <c r="A24" s="10" t="str">
        <f>Questions!$A24</f>
        <v>REQU-08</v>
      </c>
      <c r="B24" s="10" t="str">
        <f t="shared" si="0"/>
        <v>REQU</v>
      </c>
      <c r="C24" s="10" t="str">
        <f>VLOOKUP($A24,Questions!$A$3:$L$333,2,0)&amp;""</f>
        <v>Does your solution have access to personal or institutional data?</v>
      </c>
      <c r="D24" s="10" t="str">
        <f>VLOOKUP($A24,Questions!$A$3:$L$333,11,0)&amp;""</f>
        <v>NA</v>
      </c>
      <c r="E24" s="10" t="str">
        <f>VLOOKUP($A24,Questions!$A$3:$L$333,12,0)&amp;""</f>
        <v>Not Scored</v>
      </c>
      <c r="F24" s="10" t="str">
        <f>VLOOKUP($A24,'Institution Evaluation'!$A$56:$K$346,3,0)&amp;""</f>
        <v>yes</v>
      </c>
      <c r="G24" s="10" t="str">
        <f>VLOOKUP($A24,'Institution Evaluation'!$A$56:$K$346,7,0)&amp;""</f>
        <v>Not scored</v>
      </c>
      <c r="H24" s="10" t="str">
        <f>VLOOKUP($A24,'Institution Evaluation'!$A$56:$K$346,8,0)&amp;""</f>
        <v/>
      </c>
      <c r="I24" s="10" t="str">
        <f>VLOOKUP($A24,'Institution Evaluation'!$A$56:$K$346,9,0)&amp;""</f>
        <v/>
      </c>
      <c r="J24" s="10" t="str">
        <f>VLOOKUP($A24,'Institution Evaluation'!$A$56:$K$346,10,0)&amp;""</f>
        <v/>
      </c>
      <c r="K24" s="10">
        <f t="shared" si="1"/>
        <v>10</v>
      </c>
      <c r="L24" s="114" t="str">
        <f>IF($E24="Not Scored", "N/A",IF(AND($D24='Auto Responses'!$J$27,$H24=""),"N/A",IF(AND($D24='Auto Responses'!$J$27,$H24='Auto Responses'!$J$7),1,IF(AND($D24='Auto Responses'!$J$27,$H24='Auto Responses'!$J$8),0,IF(OR($F24=$G24,$H24='Auto Responses'!$J$7),1,0)))))</f>
        <v>N/A</v>
      </c>
      <c r="M24" s="10" t="str">
        <f>VLOOKUP($A24,'Institution Evaluation'!$A$56:$K$346,10,0)&amp;""</f>
        <v/>
      </c>
      <c r="N24" s="10">
        <f t="shared" si="2"/>
        <v>0</v>
      </c>
      <c r="O24" s="114" t="str">
        <f t="shared" si="3"/>
        <v>N/A</v>
      </c>
      <c r="P24" s="114" t="str">
        <f t="shared" si="4"/>
        <v>N/A</v>
      </c>
      <c r="Q24" s="114">
        <f t="shared" si="5"/>
        <v>0</v>
      </c>
      <c r="R24" s="114">
        <f t="shared" si="9"/>
        <v>0</v>
      </c>
      <c r="S24" s="114">
        <f t="shared" si="6"/>
        <v>0</v>
      </c>
      <c r="T24" s="114">
        <f t="shared" si="7"/>
        <v>0</v>
      </c>
      <c r="U24" s="114">
        <f t="shared" si="10"/>
        <v>1</v>
      </c>
      <c r="V24" s="114">
        <f t="shared" si="8"/>
        <v>0</v>
      </c>
    </row>
    <row r="25" spans="1:22" ht="60">
      <c r="A25" s="10" t="str">
        <f>Questions!$A25</f>
        <v>DOCU-01</v>
      </c>
      <c r="B25" s="10" t="str">
        <f t="shared" si="0"/>
        <v>DOCU</v>
      </c>
      <c r="C25" s="10" t="str">
        <f>VLOOKUP($A25,Questions!$A$3:$L$333,2,0)&amp;""</f>
        <v>Do you have a well-documented business continuity plan (BCP), with a clear owner, that is tested annually?*</v>
      </c>
      <c r="D25" s="10" t="str">
        <f>VLOOKUP($A25,Questions!$A$3:$L$333,11,0)&amp;""</f>
        <v/>
      </c>
      <c r="E25" s="10" t="str">
        <f>VLOOKUP($A25,Questions!$A$3:$L$333,12,0)&amp;""</f>
        <v>Organization</v>
      </c>
      <c r="F25" s="10" t="str">
        <f>VLOOKUP($A25,'Institution Evaluation'!$A$56:$K$346,3,0)&amp;""</f>
        <v>yes</v>
      </c>
      <c r="G25" s="10" t="str">
        <f>VLOOKUP($A25,'Institution Evaluation'!$A$56:$K$346,7,0)&amp;""</f>
        <v>Yes</v>
      </c>
      <c r="H25" s="10" t="str">
        <f>VLOOKUP($A25,'Institution Evaluation'!$A$56:$K$346,8,0)&amp;""</f>
        <v/>
      </c>
      <c r="I25" s="10" t="str">
        <f>VLOOKUP($A25,'Institution Evaluation'!$A$56:$K$346,9,0)&amp;""</f>
        <v>Critical Importance</v>
      </c>
      <c r="J25" s="10" t="str">
        <f>VLOOKUP($A25,'Institution Evaluation'!$A$56:$K$346,10,0)&amp;""</f>
        <v/>
      </c>
      <c r="K25" s="10">
        <f t="shared" si="1"/>
        <v>20</v>
      </c>
      <c r="L25" s="114">
        <f>IF($E25="Not Scored", "N/A",IF(AND($D25='Auto Responses'!$J$27,$H25=""),"N/A",IF(AND($D25='Auto Responses'!$J$27,$H25='Auto Responses'!$J$7),1,IF(AND($D25='Auto Responses'!$J$27,$H25='Auto Responses'!$J$8),0,IF(OR($F25=$G25,$H25='Auto Responses'!$J$7),1,0)))))</f>
        <v>1</v>
      </c>
      <c r="M25" s="10" t="str">
        <f>VLOOKUP($A25,'Institution Evaluation'!$A$56:$K$346,10,0)&amp;""</f>
        <v/>
      </c>
      <c r="N25" s="10">
        <f t="shared" si="2"/>
        <v>1</v>
      </c>
      <c r="O25" s="114">
        <f t="shared" si="3"/>
        <v>20</v>
      </c>
      <c r="P25" s="114">
        <f t="shared" si="4"/>
        <v>20</v>
      </c>
      <c r="Q25" s="114">
        <f t="shared" si="5"/>
        <v>0</v>
      </c>
      <c r="R25" s="114">
        <f t="shared" si="9"/>
        <v>0</v>
      </c>
      <c r="S25" s="114">
        <f t="shared" si="6"/>
        <v>0</v>
      </c>
      <c r="T25" s="114">
        <f t="shared" si="7"/>
        <v>1</v>
      </c>
      <c r="U25" s="114">
        <f t="shared" si="10"/>
        <v>2</v>
      </c>
      <c r="V25" s="114">
        <f t="shared" si="8"/>
        <v>2</v>
      </c>
    </row>
    <row r="26" spans="1:22" ht="60">
      <c r="A26" s="10" t="str">
        <f>Questions!$A26</f>
        <v>DOCU-02</v>
      </c>
      <c r="B26" s="10" t="str">
        <f t="shared" si="0"/>
        <v>DOCU</v>
      </c>
      <c r="C26" s="10" t="str">
        <f>VLOOKUP($A26,Questions!$A$3:$L$333,2,0)&amp;""</f>
        <v>Do you have a well-documented disaster recovery plan (DRP), with a clear owner, that is tested annually?*</v>
      </c>
      <c r="D26" s="10" t="str">
        <f>VLOOKUP($A26,Questions!$A$3:$L$333,11,0)&amp;""</f>
        <v/>
      </c>
      <c r="E26" s="10" t="str">
        <f>VLOOKUP($A26,Questions!$A$3:$L$333,12,0)&amp;""</f>
        <v>Organization</v>
      </c>
      <c r="F26" s="10" t="str">
        <f>VLOOKUP($A26,'Institution Evaluation'!$A$56:$K$346,3,0)&amp;""</f>
        <v>yes</v>
      </c>
      <c r="G26" s="10" t="str">
        <f>VLOOKUP($A26,'Institution Evaluation'!$A$56:$K$346,7,0)&amp;""</f>
        <v>Yes</v>
      </c>
      <c r="H26" s="10" t="str">
        <f>VLOOKUP($A26,'Institution Evaluation'!$A$56:$K$346,8,0)&amp;""</f>
        <v/>
      </c>
      <c r="I26" s="10" t="str">
        <f>VLOOKUP($A26,'Institution Evaluation'!$A$56:$K$346,9,0)&amp;""</f>
        <v>Critical Importance</v>
      </c>
      <c r="J26" s="10" t="str">
        <f>VLOOKUP($A26,'Institution Evaluation'!$A$56:$K$346,10,0)&amp;""</f>
        <v/>
      </c>
      <c r="K26" s="10">
        <f t="shared" si="1"/>
        <v>20</v>
      </c>
      <c r="L26" s="114">
        <f>IF($E26="Not Scored", "N/A",IF(AND($D26='Auto Responses'!$J$27,$H26=""),"N/A",IF(AND($D26='Auto Responses'!$J$27,$H26='Auto Responses'!$J$7),1,IF(AND($D26='Auto Responses'!$J$27,$H26='Auto Responses'!$J$8),0,IF(OR($F26=$G26,$H26='Auto Responses'!$J$7),1,0)))))</f>
        <v>1</v>
      </c>
      <c r="M26" s="10" t="str">
        <f>VLOOKUP($A26,'Institution Evaluation'!$A$56:$K$346,10,0)&amp;""</f>
        <v/>
      </c>
      <c r="N26" s="10">
        <f t="shared" si="2"/>
        <v>1</v>
      </c>
      <c r="O26" s="114">
        <f t="shared" si="3"/>
        <v>20</v>
      </c>
      <c r="P26" s="114">
        <f t="shared" si="4"/>
        <v>20</v>
      </c>
      <c r="Q26" s="114">
        <f t="shared" si="5"/>
        <v>0</v>
      </c>
      <c r="R26" s="114">
        <f t="shared" si="9"/>
        <v>0</v>
      </c>
      <c r="S26" s="114">
        <f t="shared" si="6"/>
        <v>0</v>
      </c>
      <c r="T26" s="114">
        <f t="shared" si="7"/>
        <v>1</v>
      </c>
      <c r="U26" s="114">
        <f t="shared" si="10"/>
        <v>3</v>
      </c>
      <c r="V26" s="114">
        <f t="shared" si="8"/>
        <v>3</v>
      </c>
    </row>
    <row r="27" spans="1:22" ht="60">
      <c r="A27" s="10" t="str">
        <f>Questions!$A27</f>
        <v>DOCU-03</v>
      </c>
      <c r="B27" s="10" t="str">
        <f t="shared" si="0"/>
        <v>DOCU</v>
      </c>
      <c r="C27" s="10" t="str">
        <f>VLOOKUP($A27,Questions!$A$3:$L$333,2,0)&amp;""</f>
        <v>Have you undergone a SSAE 18/SOC 2 audit?</v>
      </c>
      <c r="D27" s="10" t="str">
        <f>VLOOKUP($A27,Questions!$A$3:$L$333,11,0)&amp;""</f>
        <v/>
      </c>
      <c r="E27" s="10" t="str">
        <f>VLOOKUP($A27,Questions!$A$3:$L$333,12,0)&amp;""</f>
        <v>Organization</v>
      </c>
      <c r="F27" s="10" t="str">
        <f>VLOOKUP($A27,'Institution Evaluation'!$A$56:$K$346,3,0)&amp;""</f>
        <v>yes</v>
      </c>
      <c r="G27" s="10" t="str">
        <f>VLOOKUP($A27,'Institution Evaluation'!$A$56:$K$346,7,0)&amp;""</f>
        <v>Yes</v>
      </c>
      <c r="H27" s="10" t="str">
        <f>VLOOKUP($A27,'Institution Evaluation'!$A$56:$K$346,8,0)&amp;""</f>
        <v/>
      </c>
      <c r="I27" s="10" t="str">
        <f>VLOOKUP($A27,'Institution Evaluation'!$A$56:$K$346,9,0)&amp;""</f>
        <v>Standard Importance</v>
      </c>
      <c r="J27" s="10" t="str">
        <f>VLOOKUP($A27,'Institution Evaluation'!$A$56:$K$346,10,0)&amp;""</f>
        <v/>
      </c>
      <c r="K27" s="10">
        <f t="shared" si="1"/>
        <v>10</v>
      </c>
      <c r="L27" s="114">
        <f>IF($E27="Not Scored", "N/A",IF(AND($D27='Auto Responses'!$J$27,$H27=""),"N/A",IF(AND($D27='Auto Responses'!$J$27,$H27='Auto Responses'!$J$7),1,IF(AND($D27='Auto Responses'!$J$27,$H27='Auto Responses'!$J$8),0,IF(OR($F27=$G27,$H27='Auto Responses'!$J$7),1,0)))))</f>
        <v>1</v>
      </c>
      <c r="M27" s="10" t="str">
        <f>VLOOKUP($A27,'Institution Evaluation'!$A$56:$K$346,10,0)&amp;""</f>
        <v/>
      </c>
      <c r="N27" s="10">
        <f t="shared" si="2"/>
        <v>0</v>
      </c>
      <c r="O27" s="114">
        <f t="shared" si="3"/>
        <v>10</v>
      </c>
      <c r="P27" s="114">
        <f t="shared" si="4"/>
        <v>10</v>
      </c>
      <c r="Q27" s="114">
        <f t="shared" si="5"/>
        <v>0</v>
      </c>
      <c r="R27" s="114">
        <f t="shared" si="9"/>
        <v>0</v>
      </c>
      <c r="S27" s="114">
        <f t="shared" si="6"/>
        <v>0</v>
      </c>
      <c r="T27" s="114">
        <f t="shared" si="7"/>
        <v>0</v>
      </c>
      <c r="U27" s="114">
        <f t="shared" si="10"/>
        <v>3</v>
      </c>
      <c r="V27" s="114">
        <f t="shared" si="8"/>
        <v>0</v>
      </c>
    </row>
    <row r="28" spans="1:22" ht="60">
      <c r="A28" s="10" t="str">
        <f>Questions!$A28</f>
        <v>DOCU-04</v>
      </c>
      <c r="B28" s="10" t="str">
        <f t="shared" si="0"/>
        <v>DOCU</v>
      </c>
      <c r="C28" s="10" t="str">
        <f>VLOOKUP($A28,Questions!$A$3:$L$333,2,0)&amp;""</f>
        <v>Do you conform with a specific industry standard security framework (e.g., NIST Cybersecurity Framework, CIS Controls, ISO 27001, etc.)?</v>
      </c>
      <c r="D28" s="10" t="str">
        <f>VLOOKUP($A28,Questions!$A$3:$L$333,11,0)&amp;""</f>
        <v/>
      </c>
      <c r="E28" s="10" t="str">
        <f>VLOOKUP($A28,Questions!$A$3:$L$333,12,0)&amp;""</f>
        <v>Organization</v>
      </c>
      <c r="F28" s="10" t="str">
        <f>VLOOKUP($A28,'Institution Evaluation'!$A$56:$K$346,3,0)&amp;""</f>
        <v>yes</v>
      </c>
      <c r="G28" s="10" t="str">
        <f>VLOOKUP($A28,'Institution Evaluation'!$A$56:$K$346,7,0)&amp;""</f>
        <v>Yes</v>
      </c>
      <c r="H28" s="10" t="str">
        <f>VLOOKUP($A28,'Institution Evaluation'!$A$56:$K$346,8,0)&amp;""</f>
        <v/>
      </c>
      <c r="I28" s="10" t="str">
        <f>VLOOKUP($A28,'Institution Evaluation'!$A$56:$K$346,9,0)&amp;""</f>
        <v>Standard Importance</v>
      </c>
      <c r="J28" s="10" t="str">
        <f>VLOOKUP($A28,'Institution Evaluation'!$A$56:$K$346,10,0)&amp;""</f>
        <v/>
      </c>
      <c r="K28" s="10">
        <f t="shared" si="1"/>
        <v>10</v>
      </c>
      <c r="L28" s="114">
        <f>IF($E28="Not Scored", "N/A",IF(AND($D28='Auto Responses'!$J$27,$H28=""),"N/A",IF(AND($D28='Auto Responses'!$J$27,$H28='Auto Responses'!$J$7),1,IF(AND($D28='Auto Responses'!$J$27,$H28='Auto Responses'!$J$8),0,IF(OR($F28=$G28,$H28='Auto Responses'!$J$7),1,0)))))</f>
        <v>1</v>
      </c>
      <c r="M28" s="10" t="str">
        <f>VLOOKUP($A28,'Institution Evaluation'!$A$56:$K$346,10,0)&amp;""</f>
        <v/>
      </c>
      <c r="N28" s="10">
        <f t="shared" si="2"/>
        <v>0</v>
      </c>
      <c r="O28" s="114">
        <f t="shared" si="3"/>
        <v>10</v>
      </c>
      <c r="P28" s="114">
        <f t="shared" si="4"/>
        <v>10</v>
      </c>
      <c r="Q28" s="114">
        <f t="shared" si="5"/>
        <v>0</v>
      </c>
      <c r="R28" s="114">
        <f t="shared" si="9"/>
        <v>0</v>
      </c>
      <c r="S28" s="114">
        <f t="shared" si="6"/>
        <v>0</v>
      </c>
      <c r="T28" s="114">
        <f t="shared" si="7"/>
        <v>0</v>
      </c>
      <c r="U28" s="114">
        <f t="shared" si="10"/>
        <v>3</v>
      </c>
      <c r="V28" s="114">
        <f t="shared" si="8"/>
        <v>0</v>
      </c>
    </row>
    <row r="29" spans="1:22" ht="60">
      <c r="A29" s="10" t="str">
        <f>Questions!$A29</f>
        <v>DOCU-05</v>
      </c>
      <c r="B29" s="10" t="str">
        <f t="shared" si="0"/>
        <v>DOCU</v>
      </c>
      <c r="C29" s="10" t="str">
        <f>VLOOKUP($A29,Questions!$A$3:$L$333,2,0)&amp;""</f>
        <v>Can you provide overall system and/or application architecture diagrams, including a full description of the data flow for all components of the system?</v>
      </c>
      <c r="D29" s="10" t="str">
        <f>VLOOKUP($A29,Questions!$A$3:$L$333,11,0)&amp;""</f>
        <v/>
      </c>
      <c r="E29" s="10" t="str">
        <f>VLOOKUP($A29,Questions!$A$3:$L$333,12,0)&amp;""</f>
        <v>Organization</v>
      </c>
      <c r="F29" s="10" t="str">
        <f>VLOOKUP($A29,'Institution Evaluation'!$A$56:$K$346,3,0)&amp;""</f>
        <v>yes</v>
      </c>
      <c r="G29" s="10" t="str">
        <f>VLOOKUP($A29,'Institution Evaluation'!$A$56:$K$346,7,0)&amp;""</f>
        <v>Yes</v>
      </c>
      <c r="H29" s="10" t="str">
        <f>VLOOKUP($A29,'Institution Evaluation'!$A$56:$K$346,8,0)&amp;""</f>
        <v/>
      </c>
      <c r="I29" s="10" t="str">
        <f>VLOOKUP($A29,'Institution Evaluation'!$A$56:$K$346,9,0)&amp;""</f>
        <v>Standard Importance</v>
      </c>
      <c r="J29" s="10" t="str">
        <f>VLOOKUP($A29,'Institution Evaluation'!$A$56:$K$346,10,0)&amp;""</f>
        <v/>
      </c>
      <c r="K29" s="10">
        <f t="shared" si="1"/>
        <v>10</v>
      </c>
      <c r="L29" s="114">
        <f>IF($E29="Not Scored", "N/A",IF(AND($D29='Auto Responses'!$J$27,$H29=""),"N/A",IF(AND($D29='Auto Responses'!$J$27,$H29='Auto Responses'!$J$7),1,IF(AND($D29='Auto Responses'!$J$27,$H29='Auto Responses'!$J$8),0,IF(OR($F29=$G29,$H29='Auto Responses'!$J$7),1,0)))))</f>
        <v>1</v>
      </c>
      <c r="M29" s="10" t="str">
        <f>VLOOKUP($A29,'Institution Evaluation'!$A$56:$K$346,10,0)&amp;""</f>
        <v/>
      </c>
      <c r="N29" s="10">
        <f t="shared" si="2"/>
        <v>0</v>
      </c>
      <c r="O29" s="114">
        <f t="shared" si="3"/>
        <v>10</v>
      </c>
      <c r="P29" s="114">
        <f t="shared" si="4"/>
        <v>10</v>
      </c>
      <c r="Q29" s="114">
        <f t="shared" si="5"/>
        <v>0</v>
      </c>
      <c r="R29" s="114">
        <f t="shared" si="9"/>
        <v>0</v>
      </c>
      <c r="S29" s="114">
        <f t="shared" si="6"/>
        <v>0</v>
      </c>
      <c r="T29" s="114">
        <f t="shared" si="7"/>
        <v>0</v>
      </c>
      <c r="U29" s="114">
        <f t="shared" si="10"/>
        <v>3</v>
      </c>
      <c r="V29" s="114">
        <f t="shared" si="8"/>
        <v>0</v>
      </c>
    </row>
    <row r="30" spans="1:22" ht="60">
      <c r="A30" s="10" t="str">
        <f>Questions!$A30</f>
        <v>DOCU-06</v>
      </c>
      <c r="B30" s="10" t="str">
        <f t="shared" si="0"/>
        <v>DOCU</v>
      </c>
      <c r="C30" s="10" t="str">
        <f>VLOOKUP($A30,Questions!$A$3:$L$333,2,0)&amp;""</f>
        <v>Does your organization have a data privacy policy?</v>
      </c>
      <c r="D30" s="10" t="str">
        <f>VLOOKUP($A30,Questions!$A$3:$L$333,11,0)&amp;""</f>
        <v/>
      </c>
      <c r="E30" s="10" t="str">
        <f>VLOOKUP($A30,Questions!$A$3:$L$333,12,0)&amp;""</f>
        <v>Organization</v>
      </c>
      <c r="F30" s="10" t="str">
        <f>VLOOKUP($A30,'Institution Evaluation'!$A$56:$K$346,3,0)&amp;""</f>
        <v>yes</v>
      </c>
      <c r="G30" s="10" t="str">
        <f>VLOOKUP($A30,'Institution Evaluation'!$A$56:$K$346,7,0)&amp;""</f>
        <v>Yes</v>
      </c>
      <c r="H30" s="10" t="str">
        <f>VLOOKUP($A30,'Institution Evaluation'!$A$56:$K$346,8,0)&amp;""</f>
        <v/>
      </c>
      <c r="I30" s="10" t="str">
        <f>VLOOKUP($A30,'Institution Evaluation'!$A$56:$K$346,9,0)&amp;""</f>
        <v>Standard Importance</v>
      </c>
      <c r="J30" s="10" t="str">
        <f>VLOOKUP($A30,'Institution Evaluation'!$A$56:$K$346,10,0)&amp;""</f>
        <v/>
      </c>
      <c r="K30" s="10">
        <f t="shared" si="1"/>
        <v>10</v>
      </c>
      <c r="L30" s="114">
        <f>IF($E30="Not Scored", "N/A",IF(AND($D30='Auto Responses'!$J$27,$H30=""),"N/A",IF(AND($D30='Auto Responses'!$J$27,$H30='Auto Responses'!$J$7),1,IF(AND($D30='Auto Responses'!$J$27,$H30='Auto Responses'!$J$8),0,IF(OR($F30=$G30,$H30='Auto Responses'!$J$7),1,0)))))</f>
        <v>1</v>
      </c>
      <c r="M30" s="10" t="str">
        <f>VLOOKUP($A30,'Institution Evaluation'!$A$56:$K$346,10,0)&amp;""</f>
        <v/>
      </c>
      <c r="N30" s="10">
        <f t="shared" si="2"/>
        <v>0</v>
      </c>
      <c r="O30" s="114">
        <f t="shared" si="3"/>
        <v>10</v>
      </c>
      <c r="P30" s="114">
        <f t="shared" si="4"/>
        <v>10</v>
      </c>
      <c r="Q30" s="114">
        <f t="shared" si="5"/>
        <v>0</v>
      </c>
      <c r="R30" s="114">
        <f t="shared" si="9"/>
        <v>0</v>
      </c>
      <c r="S30" s="114">
        <f t="shared" si="6"/>
        <v>0</v>
      </c>
      <c r="T30" s="114">
        <f t="shared" si="7"/>
        <v>0</v>
      </c>
      <c r="U30" s="114">
        <f t="shared" si="10"/>
        <v>3</v>
      </c>
      <c r="V30" s="114">
        <f t="shared" si="8"/>
        <v>0</v>
      </c>
    </row>
    <row r="31" spans="1:22" ht="60">
      <c r="A31" s="10" t="str">
        <f>Questions!$A31</f>
        <v>DOCU-07</v>
      </c>
      <c r="B31" s="10" t="str">
        <f t="shared" si="0"/>
        <v>DOCU</v>
      </c>
      <c r="C31" s="10" t="str">
        <f>VLOOKUP($A31,Questions!$A$3:$L$333,2,0)&amp;""</f>
        <v>Do you have a documented, and currently implemented, employee onboarding and offboarding policy?</v>
      </c>
      <c r="D31" s="10" t="str">
        <f>VLOOKUP($A31,Questions!$A$3:$L$333,11,0)&amp;""</f>
        <v/>
      </c>
      <c r="E31" s="10" t="str">
        <f>VLOOKUP($A31,Questions!$A$3:$L$333,12,0)&amp;""</f>
        <v>Organization</v>
      </c>
      <c r="F31" s="10" t="str">
        <f>VLOOKUP($A31,'Institution Evaluation'!$A$56:$K$346,3,0)&amp;""</f>
        <v>no</v>
      </c>
      <c r="G31" s="10" t="str">
        <f>VLOOKUP($A31,'Institution Evaluation'!$A$56:$K$346,7,0)&amp;""</f>
        <v>Yes</v>
      </c>
      <c r="H31" s="10" t="str">
        <f>VLOOKUP($A31,'Institution Evaluation'!$A$56:$K$346,8,0)&amp;""</f>
        <v/>
      </c>
      <c r="I31" s="10" t="str">
        <f>VLOOKUP($A31,'Institution Evaluation'!$A$56:$K$346,9,0)&amp;""</f>
        <v>Standard Importance</v>
      </c>
      <c r="J31" s="10" t="str">
        <f>VLOOKUP($A31,'Institution Evaluation'!$A$56:$K$346,10,0)&amp;""</f>
        <v/>
      </c>
      <c r="K31" s="10">
        <f t="shared" si="1"/>
        <v>10</v>
      </c>
      <c r="L31" s="114">
        <f>IF($E31="Not Scored", "N/A",IF(AND($D31='Auto Responses'!$J$27,$H31=""),"N/A",IF(AND($D31='Auto Responses'!$J$27,$H31='Auto Responses'!$J$7),1,IF(AND($D31='Auto Responses'!$J$27,$H31='Auto Responses'!$J$8),0,IF(OR($F31=$G31,$H31='Auto Responses'!$J$7),1,0)))))</f>
        <v>0</v>
      </c>
      <c r="M31" s="10" t="str">
        <f>VLOOKUP($A31,'Institution Evaluation'!$A$56:$K$346,10,0)&amp;""</f>
        <v/>
      </c>
      <c r="N31" s="10">
        <f t="shared" si="2"/>
        <v>0</v>
      </c>
      <c r="O31" s="114">
        <f t="shared" si="3"/>
        <v>10</v>
      </c>
      <c r="P31" s="114">
        <f t="shared" si="4"/>
        <v>0</v>
      </c>
      <c r="Q31" s="114">
        <f t="shared" si="5"/>
        <v>0</v>
      </c>
      <c r="R31" s="114">
        <f t="shared" si="9"/>
        <v>0</v>
      </c>
      <c r="S31" s="114">
        <f t="shared" si="6"/>
        <v>0</v>
      </c>
      <c r="T31" s="114">
        <f t="shared" si="7"/>
        <v>0</v>
      </c>
      <c r="U31" s="114">
        <f t="shared" si="10"/>
        <v>3</v>
      </c>
      <c r="V31" s="114">
        <f t="shared" si="8"/>
        <v>0</v>
      </c>
    </row>
    <row r="32" spans="1:22" ht="60">
      <c r="A32" s="10" t="str">
        <f>Questions!$A32</f>
        <v>ITAC-01</v>
      </c>
      <c r="B32" s="10" t="str">
        <f t="shared" si="0"/>
        <v>ITAC</v>
      </c>
      <c r="C32" s="10" t="str">
        <f>VLOOKUP($A32,Questions!$A$3:$L$333,2,0)&amp;""</f>
        <v>Solution Provider Accessibility Contact Name</v>
      </c>
      <c r="D32" s="10" t="str">
        <f>VLOOKUP($A32,Questions!$A$3:$L$333,11,0)&amp;""</f>
        <v>NA</v>
      </c>
      <c r="E32" s="10" t="str">
        <f>VLOOKUP($A32,Questions!$A$3:$L$333,12,0)&amp;""</f>
        <v>Not Scored</v>
      </c>
      <c r="F32" s="10" t="str">
        <f>VLOOKUP($A32,'Institution Evaluation'!$A$56:$K$346,3,0)&amp;""</f>
        <v>Connie Harper</v>
      </c>
      <c r="G32" s="10" t="str">
        <f>VLOOKUP($A32,'Institution Evaluation'!$A$56:$K$346,7,0)&amp;""</f>
        <v>Not scored</v>
      </c>
      <c r="H32" s="10" t="str">
        <f>VLOOKUP($A32,'Institution Evaluation'!$A$56:$K$346,8,0)&amp;""</f>
        <v/>
      </c>
      <c r="I32" s="10" t="str">
        <f>VLOOKUP($A32,'Institution Evaluation'!$A$56:$K$346,9,0)&amp;""</f>
        <v/>
      </c>
      <c r="J32" s="10" t="str">
        <f>VLOOKUP($A32,'Institution Evaluation'!$A$56:$K$346,10,0)&amp;""</f>
        <v/>
      </c>
      <c r="K32" s="10">
        <f t="shared" si="1"/>
        <v>10</v>
      </c>
      <c r="L32" s="114" t="str">
        <f>IF($E32="Not Scored", "N/A",IF(AND($D32='Auto Responses'!$J$27,$H32=""),"N/A",IF(AND($D32='Auto Responses'!$J$27,$H32='Auto Responses'!$J$7),1,IF(AND($D32='Auto Responses'!$J$27,$H32='Auto Responses'!$J$8),0,IF(OR($F32=$G32,$H32='Auto Responses'!$J$7),1,0)))))</f>
        <v>N/A</v>
      </c>
      <c r="M32" s="10" t="str">
        <f>VLOOKUP($A32,'Institution Evaluation'!$A$56:$K$346,10,0)&amp;""</f>
        <v/>
      </c>
      <c r="N32" s="10">
        <f t="shared" si="2"/>
        <v>0</v>
      </c>
      <c r="O32" s="114" t="str">
        <f>IF(OR($F$18="No",$E32="Not Scored"),"N/A",IF($J32="",$K32,IF($J32="Minor Importance",5,IF($J32="Standard Importance",10,IF($J32="Critical Importance",20,0)))))</f>
        <v>N/A</v>
      </c>
      <c r="P32" s="114" t="str">
        <f t="shared" si="4"/>
        <v>N/A</v>
      </c>
      <c r="Q32" s="114">
        <f t="shared" si="5"/>
        <v>0</v>
      </c>
      <c r="R32" s="114">
        <f t="shared" si="9"/>
        <v>0</v>
      </c>
      <c r="S32" s="114">
        <f t="shared" si="6"/>
        <v>0</v>
      </c>
      <c r="T32" s="114">
        <f t="shared" si="7"/>
        <v>0</v>
      </c>
      <c r="U32" s="114">
        <f t="shared" si="10"/>
        <v>3</v>
      </c>
      <c r="V32" s="114">
        <f t="shared" si="8"/>
        <v>0</v>
      </c>
    </row>
    <row r="33" spans="1:22" ht="60">
      <c r="A33" s="10" t="str">
        <f>Questions!$A33</f>
        <v>ITAC-02</v>
      </c>
      <c r="B33" s="10" t="str">
        <f t="shared" si="0"/>
        <v>ITAC</v>
      </c>
      <c r="C33" s="10" t="str">
        <f>VLOOKUP($A33,Questions!$A$3:$L$333,2,0)&amp;""</f>
        <v>Solution Provider Accessibility Contact Title</v>
      </c>
      <c r="D33" s="10" t="str">
        <f>VLOOKUP($A33,Questions!$A$3:$L$333,11,0)&amp;""</f>
        <v>NA</v>
      </c>
      <c r="E33" s="10" t="str">
        <f>VLOOKUP($A33,Questions!$A$3:$L$333,12,0)&amp;""</f>
        <v>Not Scored</v>
      </c>
      <c r="F33" s="10" t="str">
        <f>VLOOKUP($A33,'Institution Evaluation'!$A$56:$K$346,3,0)&amp;""</f>
        <v>President</v>
      </c>
      <c r="G33" s="10" t="str">
        <f>VLOOKUP($A33,'Institution Evaluation'!$A$56:$K$346,7,0)&amp;""</f>
        <v>Not scored</v>
      </c>
      <c r="H33" s="10" t="str">
        <f>VLOOKUP($A33,'Institution Evaluation'!$A$56:$K$346,8,0)&amp;""</f>
        <v/>
      </c>
      <c r="I33" s="10" t="str">
        <f>VLOOKUP($A33,'Institution Evaluation'!$A$56:$K$346,9,0)&amp;""</f>
        <v/>
      </c>
      <c r="J33" s="10" t="str">
        <f>VLOOKUP($A33,'Institution Evaluation'!$A$56:$K$346,10,0)&amp;""</f>
        <v/>
      </c>
      <c r="K33" s="10">
        <f t="shared" si="1"/>
        <v>10</v>
      </c>
      <c r="L33" s="114" t="str">
        <f>IF($E33="Not Scored", "N/A",IF(AND($D33='Auto Responses'!$J$27,$H33=""),"N/A",IF(AND($D33='Auto Responses'!$J$27,$H33='Auto Responses'!$J$7),1,IF(AND($D33='Auto Responses'!$J$27,$H33='Auto Responses'!$J$8),0,IF(OR($F33=$G33,$H33='Auto Responses'!$J$7),1,0)))))</f>
        <v>N/A</v>
      </c>
      <c r="M33" s="10" t="str">
        <f>VLOOKUP($A33,'Institution Evaluation'!$A$56:$K$346,10,0)&amp;""</f>
        <v/>
      </c>
      <c r="N33" s="10">
        <f t="shared" si="2"/>
        <v>0</v>
      </c>
      <c r="O33" s="114" t="str">
        <f t="shared" ref="O33:O49" si="11">IF(OR($F$18="No",$E33="Not Scored"),"N/A",IF($J33="",$K33,IF($J33="Minor Importance",5,IF($J33="Standard Importance",10,IF($J33="Critical Importance",20,0)))))</f>
        <v>N/A</v>
      </c>
      <c r="P33" s="114" t="str">
        <f t="shared" si="4"/>
        <v>N/A</v>
      </c>
      <c r="Q33" s="114">
        <f t="shared" si="5"/>
        <v>0</v>
      </c>
      <c r="R33" s="114">
        <f t="shared" si="9"/>
        <v>0</v>
      </c>
      <c r="S33" s="114">
        <f t="shared" si="6"/>
        <v>0</v>
      </c>
      <c r="T33" s="114">
        <f t="shared" si="7"/>
        <v>0</v>
      </c>
      <c r="U33" s="114">
        <f t="shared" si="10"/>
        <v>3</v>
      </c>
      <c r="V33" s="114">
        <f t="shared" si="8"/>
        <v>0</v>
      </c>
    </row>
    <row r="34" spans="1:22" ht="60">
      <c r="A34" s="10" t="str">
        <f>Questions!$A34</f>
        <v>ITAC-03</v>
      </c>
      <c r="B34" s="10" t="str">
        <f t="shared" si="0"/>
        <v>ITAC</v>
      </c>
      <c r="C34" s="10" t="str">
        <f>VLOOKUP($A34,Questions!$A$3:$L$333,2,0)&amp;""</f>
        <v>Solution Provider Accessibility Contact Email</v>
      </c>
      <c r="D34" s="10" t="str">
        <f>VLOOKUP($A34,Questions!$A$3:$L$333,11,0)&amp;""</f>
        <v>NA</v>
      </c>
      <c r="E34" s="10" t="str">
        <f>VLOOKUP($A34,Questions!$A$3:$L$333,12,0)&amp;""</f>
        <v>Not Scored</v>
      </c>
      <c r="F34" s="10" t="str">
        <f>VLOOKUP($A34,'Institution Evaluation'!$A$56:$K$346,3,0)&amp;""</f>
        <v>connie9030@icloud.com</v>
      </c>
      <c r="G34" s="10" t="str">
        <f>VLOOKUP($A34,'Institution Evaluation'!$A$56:$K$346,7,0)&amp;""</f>
        <v>Not scored</v>
      </c>
      <c r="H34" s="10" t="str">
        <f>VLOOKUP($A34,'Institution Evaluation'!$A$56:$K$346,8,0)&amp;""</f>
        <v/>
      </c>
      <c r="I34" s="10" t="str">
        <f>VLOOKUP($A34,'Institution Evaluation'!$A$56:$K$346,9,0)&amp;""</f>
        <v/>
      </c>
      <c r="J34" s="10" t="str">
        <f>VLOOKUP($A34,'Institution Evaluation'!$A$56:$K$346,10,0)&amp;""</f>
        <v/>
      </c>
      <c r="K34" s="10">
        <f t="shared" si="1"/>
        <v>10</v>
      </c>
      <c r="L34" s="114" t="str">
        <f>IF($E34="Not Scored", "N/A",IF(AND($D34='Auto Responses'!$J$27,$H34=""),"N/A",IF(AND($D34='Auto Responses'!$J$27,$H34='Auto Responses'!$J$7),1,IF(AND($D34='Auto Responses'!$J$27,$H34='Auto Responses'!$J$8),0,IF(OR($F34=$G34,$H34='Auto Responses'!$J$7),1,0)))))</f>
        <v>N/A</v>
      </c>
      <c r="M34" s="10" t="str">
        <f>VLOOKUP($A34,'Institution Evaluation'!$A$56:$K$346,10,0)&amp;""</f>
        <v/>
      </c>
      <c r="N34" s="10">
        <f t="shared" si="2"/>
        <v>0</v>
      </c>
      <c r="O34" s="114" t="str">
        <f t="shared" si="11"/>
        <v>N/A</v>
      </c>
      <c r="P34" s="114" t="str">
        <f t="shared" si="4"/>
        <v>N/A</v>
      </c>
      <c r="Q34" s="114">
        <f t="shared" si="5"/>
        <v>0</v>
      </c>
      <c r="R34" s="114">
        <f t="shared" si="9"/>
        <v>0</v>
      </c>
      <c r="S34" s="114">
        <f t="shared" si="6"/>
        <v>0</v>
      </c>
      <c r="T34" s="114">
        <f t="shared" si="7"/>
        <v>0</v>
      </c>
      <c r="U34" s="114">
        <f t="shared" si="10"/>
        <v>3</v>
      </c>
      <c r="V34" s="114">
        <f t="shared" si="8"/>
        <v>0</v>
      </c>
    </row>
    <row r="35" spans="1:22" ht="60">
      <c r="A35" s="10" t="str">
        <f>Questions!$A35</f>
        <v>ITAC-04</v>
      </c>
      <c r="B35" s="10" t="str">
        <f t="shared" si="0"/>
        <v>ITAC</v>
      </c>
      <c r="C35" s="10" t="str">
        <f>VLOOKUP($A35,Questions!$A$3:$L$333,2,0)&amp;""</f>
        <v>Solution Provider Accessibility Contact Phone Number</v>
      </c>
      <c r="D35" s="10" t="str">
        <f>VLOOKUP($A35,Questions!$A$3:$L$333,11,0)&amp;""</f>
        <v>NA</v>
      </c>
      <c r="E35" s="10" t="str">
        <f>VLOOKUP($A35,Questions!$A$3:$L$333,12,0)&amp;""</f>
        <v>Not Scored</v>
      </c>
      <c r="F35" s="10" t="str">
        <f>VLOOKUP($A35,'Institution Evaluation'!$A$56:$K$346,3,0)&amp;""</f>
        <v>864-814-0323</v>
      </c>
      <c r="G35" s="10" t="str">
        <f>VLOOKUP($A35,'Institution Evaluation'!$A$56:$K$346,7,0)&amp;""</f>
        <v>Not scored</v>
      </c>
      <c r="H35" s="10" t="str">
        <f>VLOOKUP($A35,'Institution Evaluation'!$A$56:$K$346,8,0)&amp;""</f>
        <v/>
      </c>
      <c r="I35" s="10" t="str">
        <f>VLOOKUP($A35,'Institution Evaluation'!$A$56:$K$346,9,0)&amp;""</f>
        <v/>
      </c>
      <c r="J35" s="10" t="str">
        <f>VLOOKUP($A35,'Institution Evaluation'!$A$56:$K$346,10,0)&amp;""</f>
        <v/>
      </c>
      <c r="K35" s="10">
        <f t="shared" si="1"/>
        <v>10</v>
      </c>
      <c r="L35" s="114" t="str">
        <f>IF($E35="Not Scored", "N/A",IF(AND($D35='Auto Responses'!$J$27,$H35=""),"N/A",IF(AND($D35='Auto Responses'!$J$27,$H35='Auto Responses'!$J$7),1,IF(AND($D35='Auto Responses'!$J$27,$H35='Auto Responses'!$J$8),0,IF(OR($F35=$G35,$H35='Auto Responses'!$J$7),1,0)))))</f>
        <v>N/A</v>
      </c>
      <c r="M35" s="10" t="str">
        <f>VLOOKUP($A35,'Institution Evaluation'!$A$56:$K$346,10,0)&amp;""</f>
        <v/>
      </c>
      <c r="N35" s="10">
        <f t="shared" si="2"/>
        <v>0</v>
      </c>
      <c r="O35" s="114" t="str">
        <f t="shared" si="11"/>
        <v>N/A</v>
      </c>
      <c r="P35" s="114" t="str">
        <f t="shared" si="4"/>
        <v>N/A</v>
      </c>
      <c r="Q35" s="114">
        <f t="shared" si="5"/>
        <v>0</v>
      </c>
      <c r="R35" s="114">
        <f t="shared" si="9"/>
        <v>0</v>
      </c>
      <c r="S35" s="114">
        <f t="shared" si="6"/>
        <v>0</v>
      </c>
      <c r="T35" s="114">
        <f t="shared" si="7"/>
        <v>0</v>
      </c>
      <c r="U35" s="114">
        <f t="shared" si="10"/>
        <v>3</v>
      </c>
      <c r="V35" s="114">
        <f t="shared" si="8"/>
        <v>0</v>
      </c>
    </row>
    <row r="36" spans="1:22" ht="60">
      <c r="A36" s="10" t="str">
        <f>Questions!$A36</f>
        <v>ITAC-05</v>
      </c>
      <c r="B36" s="10" t="str">
        <f t="shared" si="0"/>
        <v>ITAC</v>
      </c>
      <c r="C36" s="10" t="str">
        <f>VLOOKUP($A36,Questions!$A$3:$L$333,2,0)&amp;""</f>
        <v>Web Link to Accessibility Statement or VPAT</v>
      </c>
      <c r="D36" s="10" t="str">
        <f>VLOOKUP($A36,Questions!$A$3:$L$333,11,0)&amp;""</f>
        <v/>
      </c>
      <c r="E36" s="10" t="str">
        <f>VLOOKUP($A36,Questions!$A$3:$L$333,12,0)&amp;""</f>
        <v>Not Scored</v>
      </c>
      <c r="F36" s="10" t="str">
        <f>VLOOKUP($A36,'Institution Evaluation'!$A$56:$K$346,3,0)&amp;""</f>
        <v/>
      </c>
      <c r="G36" s="10" t="str">
        <f>VLOOKUP($A36,'Institution Evaluation'!$A$56:$K$346,7,0)&amp;""</f>
        <v>Not scored</v>
      </c>
      <c r="H36" s="10" t="str">
        <f>VLOOKUP($A36,'Institution Evaluation'!$A$56:$K$346,8,0)&amp;""</f>
        <v/>
      </c>
      <c r="I36" s="10" t="str">
        <f>VLOOKUP($A36,'Institution Evaluation'!$A$56:$K$346,9,0)&amp;""</f>
        <v>Standard Importance</v>
      </c>
      <c r="J36" s="10" t="str">
        <f>VLOOKUP($A36,'Institution Evaluation'!$A$56:$K$346,10,0)&amp;""</f>
        <v/>
      </c>
      <c r="K36" s="10">
        <f t="shared" si="1"/>
        <v>10</v>
      </c>
      <c r="L36" s="114" t="str">
        <f>IF($E36="Not Scored", "N/A",IF(AND($D36='Auto Responses'!$J$27,$H36=""),"N/A",IF(AND($D36='Auto Responses'!$J$27,$H36='Auto Responses'!$J$7),1,IF(AND($D36='Auto Responses'!$J$27,$H36='Auto Responses'!$J$8),0,IF(OR($F36=$G36,$H36='Auto Responses'!$J$7),1,0)))))</f>
        <v>N/A</v>
      </c>
      <c r="M36" s="10" t="str">
        <f>VLOOKUP($A36,'Institution Evaluation'!$A$56:$K$346,10,0)&amp;""</f>
        <v/>
      </c>
      <c r="N36" s="10">
        <f t="shared" si="2"/>
        <v>0</v>
      </c>
      <c r="O36" s="114" t="str">
        <f t="shared" si="11"/>
        <v>N/A</v>
      </c>
      <c r="P36" s="114" t="str">
        <f t="shared" si="4"/>
        <v>N/A</v>
      </c>
      <c r="Q36" s="114">
        <f t="shared" si="5"/>
        <v>0</v>
      </c>
      <c r="R36" s="114">
        <f t="shared" si="9"/>
        <v>0</v>
      </c>
      <c r="S36" s="114">
        <f t="shared" si="6"/>
        <v>0</v>
      </c>
      <c r="T36" s="114">
        <f t="shared" si="7"/>
        <v>0</v>
      </c>
      <c r="U36" s="114">
        <f t="shared" si="10"/>
        <v>3</v>
      </c>
      <c r="V36" s="114">
        <f t="shared" si="8"/>
        <v>0</v>
      </c>
    </row>
    <row r="37" spans="1:22" ht="60">
      <c r="A37" s="10" t="str">
        <f>Questions!$A37</f>
        <v>ITAC-06</v>
      </c>
      <c r="B37" s="10" t="str">
        <f t="shared" si="0"/>
        <v>ITAC</v>
      </c>
      <c r="C37" s="10" t="str">
        <f>VLOOKUP($A37,Questions!$A$3:$L$333,2,0)&amp;""</f>
        <v>Has a VPAT or ACR been created or updated for the solution and version under consideration within the past 12 months?*</v>
      </c>
      <c r="D37" s="10" t="str">
        <f>VLOOKUP($A37,Questions!$A$3:$L$333,11,0)&amp;""</f>
        <v/>
      </c>
      <c r="E37" s="10" t="str">
        <f>VLOOKUP($A37,Questions!$A$3:$L$333,12,0)&amp;""</f>
        <v>IT Accessibility</v>
      </c>
      <c r="F37" s="10" t="str">
        <f>VLOOKUP($A37,'Institution Evaluation'!$A$56:$K$346,3,0)&amp;""</f>
        <v>yes</v>
      </c>
      <c r="G37" s="10" t="str">
        <f>VLOOKUP($A37,'Institution Evaluation'!$A$56:$K$346,7,0)&amp;""</f>
        <v>Yes</v>
      </c>
      <c r="H37" s="10" t="str">
        <f>VLOOKUP($A37,'Institution Evaluation'!$A$56:$K$346,8,0)&amp;""</f>
        <v/>
      </c>
      <c r="I37" s="10" t="str">
        <f>VLOOKUP($A37,'Institution Evaluation'!$A$56:$K$346,9,0)&amp;""</f>
        <v>Critical Importance</v>
      </c>
      <c r="J37" s="10" t="str">
        <f>VLOOKUP($A37,'Institution Evaluation'!$A$56:$K$346,10,0)&amp;""</f>
        <v/>
      </c>
      <c r="K37" s="10">
        <f t="shared" si="1"/>
        <v>20</v>
      </c>
      <c r="L37" s="114">
        <f>IF($E37="Not Scored", "N/A",IF(AND($D37='Auto Responses'!$J$27,$H37=""),"N/A",IF(AND($D37='Auto Responses'!$J$27,$H37='Auto Responses'!$J$7),1,IF(AND($D37='Auto Responses'!$J$27,$H37='Auto Responses'!$J$8),0,IF(OR($F37=$G37,$H37='Auto Responses'!$J$7),1,0)))))</f>
        <v>1</v>
      </c>
      <c r="M37" s="10" t="str">
        <f>VLOOKUP($A37,'Institution Evaluation'!$A$56:$K$346,10,0)&amp;""</f>
        <v/>
      </c>
      <c r="N37" s="10">
        <f t="shared" si="2"/>
        <v>1</v>
      </c>
      <c r="O37" s="114">
        <f t="shared" si="11"/>
        <v>20</v>
      </c>
      <c r="P37" s="114">
        <f t="shared" si="4"/>
        <v>20</v>
      </c>
      <c r="Q37" s="114">
        <f t="shared" si="5"/>
        <v>0</v>
      </c>
      <c r="R37" s="114">
        <f t="shared" si="9"/>
        <v>0</v>
      </c>
      <c r="S37" s="114">
        <f t="shared" si="6"/>
        <v>0</v>
      </c>
      <c r="T37" s="114">
        <f t="shared" si="7"/>
        <v>1</v>
      </c>
      <c r="U37" s="114">
        <f t="shared" si="10"/>
        <v>4</v>
      </c>
      <c r="V37" s="114">
        <f t="shared" si="8"/>
        <v>4</v>
      </c>
    </row>
    <row r="38" spans="1:22" ht="60">
      <c r="A38" s="10" t="str">
        <f>Questions!$A38</f>
        <v>ITAC-07</v>
      </c>
      <c r="B38" s="10" t="str">
        <f t="shared" si="0"/>
        <v>ITAC</v>
      </c>
      <c r="C38" s="10" t="str">
        <f>VLOOKUP($A38,Questions!$A$3:$L$333,2,0)&amp;""</f>
        <v>Will your company agree to meet your stated accessibility standard or WCAG 2.1 AA as part of your contractual agreement for the solution?*</v>
      </c>
      <c r="D38" s="10" t="str">
        <f>VLOOKUP($A38,Questions!$A$3:$L$333,11,0)&amp;""</f>
        <v/>
      </c>
      <c r="E38" s="10" t="str">
        <f>VLOOKUP($A38,Questions!$A$3:$L$333,12,0)&amp;""</f>
        <v>IT Accessibility</v>
      </c>
      <c r="F38" s="10" t="str">
        <f>VLOOKUP($A38,'Institution Evaluation'!$A$56:$K$346,3,0)&amp;""</f>
        <v>yes</v>
      </c>
      <c r="G38" s="10" t="str">
        <f>VLOOKUP($A38,'Institution Evaluation'!$A$56:$K$346,7,0)&amp;""</f>
        <v>Yes</v>
      </c>
      <c r="H38" s="10" t="str">
        <f>VLOOKUP($A38,'Institution Evaluation'!$A$56:$K$346,8,0)&amp;""</f>
        <v/>
      </c>
      <c r="I38" s="10" t="str">
        <f>VLOOKUP($A38,'Institution Evaluation'!$A$56:$K$346,9,0)&amp;""</f>
        <v>Critical Importance</v>
      </c>
      <c r="J38" s="10" t="str">
        <f>VLOOKUP($A38,'Institution Evaluation'!$A$56:$K$346,10,0)&amp;""</f>
        <v/>
      </c>
      <c r="K38" s="10">
        <f t="shared" si="1"/>
        <v>20</v>
      </c>
      <c r="L38" s="114">
        <f>IF($E38="Not Scored", "N/A",IF(AND($D38='Auto Responses'!$J$27,$H38=""),"N/A",IF(AND($D38='Auto Responses'!$J$27,$H38='Auto Responses'!$J$7),1,IF(AND($D38='Auto Responses'!$J$27,$H38='Auto Responses'!$J$8),0,IF(OR($F38=$G38,$H38='Auto Responses'!$J$7),1,0)))))</f>
        <v>1</v>
      </c>
      <c r="M38" s="10" t="str">
        <f>VLOOKUP($A38,'Institution Evaluation'!$A$56:$K$346,10,0)&amp;""</f>
        <v/>
      </c>
      <c r="N38" s="10">
        <f t="shared" si="2"/>
        <v>1</v>
      </c>
      <c r="O38" s="114">
        <f t="shared" si="11"/>
        <v>20</v>
      </c>
      <c r="P38" s="114">
        <f t="shared" si="4"/>
        <v>20</v>
      </c>
      <c r="Q38" s="114">
        <f t="shared" si="5"/>
        <v>0</v>
      </c>
      <c r="R38" s="114">
        <f t="shared" si="9"/>
        <v>0</v>
      </c>
      <c r="S38" s="114">
        <f t="shared" si="6"/>
        <v>0</v>
      </c>
      <c r="T38" s="114">
        <f t="shared" si="7"/>
        <v>1</v>
      </c>
      <c r="U38" s="114">
        <f t="shared" si="10"/>
        <v>5</v>
      </c>
      <c r="V38" s="114">
        <f t="shared" si="8"/>
        <v>5</v>
      </c>
    </row>
    <row r="39" spans="1:22" ht="60">
      <c r="A39" s="10" t="str">
        <f>Questions!$A39</f>
        <v>ITAC-08</v>
      </c>
      <c r="B39" s="10" t="str">
        <f t="shared" si="0"/>
        <v>ITAC</v>
      </c>
      <c r="C39" s="10" t="str">
        <f>VLOOKUP($A39,Questions!$A$3:$L$333,2,0)&amp;""</f>
        <v>Does the solution substantially conform to WCAG 2.1 AA?*</v>
      </c>
      <c r="D39" s="10" t="str">
        <f>VLOOKUP($A39,Questions!$A$3:$L$333,11,0)&amp;""</f>
        <v/>
      </c>
      <c r="E39" s="10" t="str">
        <f>VLOOKUP($A39,Questions!$A$3:$L$333,12,0)&amp;""</f>
        <v>IT Accessibility</v>
      </c>
      <c r="F39" s="10" t="str">
        <f>VLOOKUP($A39,'Institution Evaluation'!$A$56:$K$346,3,0)&amp;""</f>
        <v>yes</v>
      </c>
      <c r="G39" s="10" t="str">
        <f>VLOOKUP($A39,'Institution Evaluation'!$A$56:$K$346,7,0)&amp;""</f>
        <v>Yes</v>
      </c>
      <c r="H39" s="10" t="str">
        <f>VLOOKUP($A39,'Institution Evaluation'!$A$56:$K$346,8,0)&amp;""</f>
        <v/>
      </c>
      <c r="I39" s="10" t="str">
        <f>VLOOKUP($A39,'Institution Evaluation'!$A$56:$K$346,9,0)&amp;""</f>
        <v>Critical Importance</v>
      </c>
      <c r="J39" s="10" t="str">
        <f>VLOOKUP($A39,'Institution Evaluation'!$A$56:$K$346,10,0)&amp;""</f>
        <v/>
      </c>
      <c r="K39" s="10">
        <f t="shared" si="1"/>
        <v>20</v>
      </c>
      <c r="L39" s="114">
        <f>IF($E39="Not Scored", "N/A",IF(AND($D39='Auto Responses'!$J$27,$H39=""),"N/A",IF(AND($D39='Auto Responses'!$J$27,$H39='Auto Responses'!$J$7),1,IF(AND($D39='Auto Responses'!$J$27,$H39='Auto Responses'!$J$8),0,IF(OR($F39=$G39,$H39='Auto Responses'!$J$7),1,0)))))</f>
        <v>1</v>
      </c>
      <c r="M39" s="10" t="str">
        <f>VLOOKUP($A39,'Institution Evaluation'!$A$56:$K$346,10,0)&amp;""</f>
        <v/>
      </c>
      <c r="N39" s="10">
        <f t="shared" si="2"/>
        <v>1</v>
      </c>
      <c r="O39" s="114">
        <f t="shared" si="11"/>
        <v>20</v>
      </c>
      <c r="P39" s="114">
        <f t="shared" si="4"/>
        <v>20</v>
      </c>
      <c r="Q39" s="114">
        <f t="shared" si="5"/>
        <v>0</v>
      </c>
      <c r="R39" s="114">
        <f t="shared" si="9"/>
        <v>0</v>
      </c>
      <c r="S39" s="114">
        <f t="shared" si="6"/>
        <v>0</v>
      </c>
      <c r="T39" s="114">
        <f t="shared" si="7"/>
        <v>1</v>
      </c>
      <c r="U39" s="114">
        <f t="shared" si="10"/>
        <v>6</v>
      </c>
      <c r="V39" s="114">
        <f t="shared" si="8"/>
        <v>6</v>
      </c>
    </row>
    <row r="40" spans="1:22" ht="60">
      <c r="A40" s="10" t="str">
        <f>Questions!$A40</f>
        <v>ITAC-09</v>
      </c>
      <c r="B40" s="10" t="str">
        <f t="shared" si="0"/>
        <v>ITAC</v>
      </c>
      <c r="C40" s="10" t="str">
        <f>VLOOKUP($A40,Questions!$A$3:$L$333,2,0)&amp;""</f>
        <v>Do you have a documented and implemented process for reporting and tracking accessibility issues?*</v>
      </c>
      <c r="D40" s="10" t="str">
        <f>VLOOKUP($A40,Questions!$A$3:$L$333,11,0)&amp;""</f>
        <v/>
      </c>
      <c r="E40" s="10" t="str">
        <f>VLOOKUP($A40,Questions!$A$3:$L$333,12,0)&amp;""</f>
        <v>IT Accessibility</v>
      </c>
      <c r="F40" s="10" t="str">
        <f>VLOOKUP($A40,'Institution Evaluation'!$A$56:$K$346,3,0)&amp;""</f>
        <v>No</v>
      </c>
      <c r="G40" s="10" t="str">
        <f>VLOOKUP($A40,'Institution Evaluation'!$A$56:$K$346,7,0)&amp;""</f>
        <v>Yes</v>
      </c>
      <c r="H40" s="10" t="str">
        <f>VLOOKUP($A40,'Institution Evaluation'!$A$56:$K$346,8,0)&amp;""</f>
        <v/>
      </c>
      <c r="I40" s="10" t="str">
        <f>VLOOKUP($A40,'Institution Evaluation'!$A$56:$K$346,9,0)&amp;""</f>
        <v>Critical Importance</v>
      </c>
      <c r="J40" s="10" t="str">
        <f>VLOOKUP($A40,'Institution Evaluation'!$A$56:$K$346,10,0)&amp;""</f>
        <v/>
      </c>
      <c r="K40" s="10">
        <f t="shared" si="1"/>
        <v>20</v>
      </c>
      <c r="L40" s="114">
        <f>IF($E40="Not Scored", "N/A",IF(AND($D40='Auto Responses'!$J$27,$H40=""),"N/A",IF(AND($D40='Auto Responses'!$J$27,$H40='Auto Responses'!$J$7),1,IF(AND($D40='Auto Responses'!$J$27,$H40='Auto Responses'!$J$8),0,IF(OR($F40=$G40,$H40='Auto Responses'!$J$7),1,0)))))</f>
        <v>0</v>
      </c>
      <c r="M40" s="10" t="str">
        <f>VLOOKUP($A40,'Institution Evaluation'!$A$56:$K$346,10,0)&amp;""</f>
        <v/>
      </c>
      <c r="N40" s="10">
        <f t="shared" si="2"/>
        <v>1</v>
      </c>
      <c r="O40" s="114">
        <f t="shared" si="11"/>
        <v>20</v>
      </c>
      <c r="P40" s="114">
        <f t="shared" si="4"/>
        <v>0</v>
      </c>
      <c r="Q40" s="114">
        <f t="shared" si="5"/>
        <v>0</v>
      </c>
      <c r="R40" s="114">
        <f t="shared" si="9"/>
        <v>0</v>
      </c>
      <c r="S40" s="114">
        <f t="shared" si="6"/>
        <v>0</v>
      </c>
      <c r="T40" s="114">
        <f t="shared" si="7"/>
        <v>1</v>
      </c>
      <c r="U40" s="114">
        <f t="shared" si="10"/>
        <v>7</v>
      </c>
      <c r="V40" s="114">
        <f t="shared" si="8"/>
        <v>7</v>
      </c>
    </row>
    <row r="41" spans="1:22" ht="60">
      <c r="A41" s="10" t="str">
        <f>Questions!$A41</f>
        <v>ITAC-10</v>
      </c>
      <c r="B41" s="10" t="str">
        <f t="shared" si="0"/>
        <v>ITAC</v>
      </c>
      <c r="C41" s="10" t="str">
        <f>VLOOKUP($A41,Questions!$A$3:$L$333,2,0)&amp;""</f>
        <v>Do you have documentation to support the accessibility features of your solution?</v>
      </c>
      <c r="D41" s="10" t="str">
        <f>VLOOKUP($A41,Questions!$A$3:$L$333,11,0)&amp;""</f>
        <v/>
      </c>
      <c r="E41" s="10" t="str">
        <f>VLOOKUP($A41,Questions!$A$3:$L$333,12,0)&amp;""</f>
        <v>IT Accessibility</v>
      </c>
      <c r="F41" s="10" t="str">
        <f>VLOOKUP($A41,'Institution Evaluation'!$A$56:$K$346,3,0)&amp;""</f>
        <v>yes</v>
      </c>
      <c r="G41" s="10" t="str">
        <f>VLOOKUP($A41,'Institution Evaluation'!$A$56:$K$346,7,0)&amp;""</f>
        <v>Yes</v>
      </c>
      <c r="H41" s="10" t="str">
        <f>VLOOKUP($A41,'Institution Evaluation'!$A$56:$K$346,8,0)&amp;""</f>
        <v/>
      </c>
      <c r="I41" s="10" t="str">
        <f>VLOOKUP($A41,'Institution Evaluation'!$A$56:$K$346,9,0)&amp;""</f>
        <v>Standard Importance</v>
      </c>
      <c r="J41" s="10" t="str">
        <f>VLOOKUP($A41,'Institution Evaluation'!$A$56:$K$346,10,0)&amp;""</f>
        <v/>
      </c>
      <c r="K41" s="10">
        <f t="shared" si="1"/>
        <v>10</v>
      </c>
      <c r="L41" s="114">
        <f>IF($E41="Not Scored", "N/A",IF(AND($D41='Auto Responses'!$J$27,$H41=""),"N/A",IF(AND($D41='Auto Responses'!$J$27,$H41='Auto Responses'!$J$7),1,IF(AND($D41='Auto Responses'!$J$27,$H41='Auto Responses'!$J$8),0,IF(OR($F41=$G41,$H41='Auto Responses'!$J$7),1,0)))))</f>
        <v>1</v>
      </c>
      <c r="M41" s="10" t="str">
        <f>VLOOKUP($A41,'Institution Evaluation'!$A$56:$K$346,10,0)&amp;""</f>
        <v/>
      </c>
      <c r="N41" s="10">
        <f t="shared" si="2"/>
        <v>0</v>
      </c>
      <c r="O41" s="114">
        <f t="shared" si="11"/>
        <v>10</v>
      </c>
      <c r="P41" s="114">
        <f t="shared" si="4"/>
        <v>10</v>
      </c>
      <c r="Q41" s="114">
        <f t="shared" si="5"/>
        <v>0</v>
      </c>
      <c r="R41" s="114">
        <f t="shared" si="9"/>
        <v>0</v>
      </c>
      <c r="S41" s="114">
        <f t="shared" si="6"/>
        <v>0</v>
      </c>
      <c r="T41" s="114">
        <f t="shared" si="7"/>
        <v>0</v>
      </c>
      <c r="U41" s="114">
        <f t="shared" si="10"/>
        <v>7</v>
      </c>
      <c r="V41" s="114">
        <f t="shared" si="8"/>
        <v>0</v>
      </c>
    </row>
    <row r="42" spans="1:22" ht="60">
      <c r="A42" s="10" t="str">
        <f>Questions!$A42</f>
        <v>ITAC-11</v>
      </c>
      <c r="B42" s="10" t="str">
        <f t="shared" si="0"/>
        <v>ITAC</v>
      </c>
      <c r="C42" s="10" t="str">
        <f>VLOOKUP($A42,Questions!$A$3:$L$333,2,0)&amp;""</f>
        <v>Has a third-party expert conducted an audit of the most recent version of your solution?</v>
      </c>
      <c r="D42" s="10"/>
      <c r="E42" s="10" t="str">
        <f>VLOOKUP($A42,Questions!$A$3:$L$333,12,0)&amp;""</f>
        <v>IT Accessibility</v>
      </c>
      <c r="F42" s="10" t="str">
        <f>VLOOKUP($A42,'Institution Evaluation'!$A$56:$K$346,3,0)&amp;""</f>
        <v>Yes</v>
      </c>
      <c r="G42" s="10" t="str">
        <f>VLOOKUP($A42,'Institution Evaluation'!$A$56:$K$346,7,0)&amp;""</f>
        <v>Yes</v>
      </c>
      <c r="H42" s="10" t="str">
        <f>VLOOKUP($A42,'Institution Evaluation'!$A$56:$K$346,8,0)&amp;""</f>
        <v/>
      </c>
      <c r="I42" s="10" t="str">
        <f>VLOOKUP($A42,'Institution Evaluation'!$A$56:$K$346,9,0)&amp;""</f>
        <v>Standard Importance</v>
      </c>
      <c r="J42" s="10" t="str">
        <f>VLOOKUP($A42,'Institution Evaluation'!$A$56:$K$346,10,0)&amp;""</f>
        <v/>
      </c>
      <c r="K42" s="10">
        <f t="shared" si="1"/>
        <v>10</v>
      </c>
      <c r="L42" s="114">
        <f>IF($E42="Not Scored", "N/A",IF(AND($D42='Auto Responses'!$J$27,$H42=""),"N/A",IF(AND($D42='Auto Responses'!$J$27,$H42='Auto Responses'!$J$7),1,IF(AND($D42='Auto Responses'!$J$27,$H42='Auto Responses'!$J$8),0,IF(OR($F42=$G42,$H42='Auto Responses'!$J$7),1,0)))))</f>
        <v>1</v>
      </c>
      <c r="M42" s="10" t="str">
        <f>VLOOKUP($A42,'Institution Evaluation'!$A$56:$K$346,10,0)&amp;""</f>
        <v/>
      </c>
      <c r="N42" s="10">
        <f t="shared" si="2"/>
        <v>0</v>
      </c>
      <c r="O42" s="114">
        <f t="shared" si="11"/>
        <v>10</v>
      </c>
      <c r="P42" s="114">
        <f t="shared" si="4"/>
        <v>10</v>
      </c>
      <c r="Q42" s="114">
        <f t="shared" si="5"/>
        <v>0</v>
      </c>
      <c r="R42" s="114">
        <f t="shared" si="9"/>
        <v>0</v>
      </c>
      <c r="S42" s="114">
        <f t="shared" si="6"/>
        <v>0</v>
      </c>
      <c r="T42" s="114">
        <f t="shared" si="7"/>
        <v>0</v>
      </c>
      <c r="U42" s="114">
        <f t="shared" si="10"/>
        <v>7</v>
      </c>
      <c r="V42" s="114">
        <f t="shared" si="8"/>
        <v>0</v>
      </c>
    </row>
    <row r="43" spans="1:22" ht="60">
      <c r="A43" s="10" t="str">
        <f>Questions!$A43</f>
        <v>ITAC-12</v>
      </c>
      <c r="B43" s="10" t="str">
        <f t="shared" si="0"/>
        <v>ITAC</v>
      </c>
      <c r="C43" s="10" t="str">
        <f>VLOOKUP($A43,Questions!$A$3:$L$333,2,0)&amp;""</f>
        <v>Do you have a documented and implemented process for verifying accessibility conformance?</v>
      </c>
      <c r="D43" s="10" t="str">
        <f>VLOOKUP($A43,Questions!$A$3:$L$333,11,0)&amp;""</f>
        <v/>
      </c>
      <c r="E43" s="10" t="str">
        <f>VLOOKUP($A43,Questions!$A$3:$L$333,12,0)&amp;""</f>
        <v>IT Accessibility</v>
      </c>
      <c r="F43" s="10" t="str">
        <f>VLOOKUP($A43,'Institution Evaluation'!$A$56:$K$346,3,0)&amp;""</f>
        <v>No</v>
      </c>
      <c r="G43" s="10" t="str">
        <f>VLOOKUP($A43,'Institution Evaluation'!$A$56:$K$346,7,0)&amp;""</f>
        <v>Yes</v>
      </c>
      <c r="H43" s="10" t="str">
        <f>VLOOKUP($A43,'Institution Evaluation'!$A$56:$K$346,8,0)&amp;""</f>
        <v/>
      </c>
      <c r="I43" s="10" t="str">
        <f>VLOOKUP($A43,'Institution Evaluation'!$A$56:$K$346,9,0)&amp;""</f>
        <v>Standard Importance</v>
      </c>
      <c r="J43" s="10" t="str">
        <f>VLOOKUP($A43,'Institution Evaluation'!$A$56:$K$346,10,0)&amp;""</f>
        <v/>
      </c>
      <c r="K43" s="10">
        <f t="shared" si="1"/>
        <v>10</v>
      </c>
      <c r="L43" s="114">
        <f>IF($E43="Not Scored", "N/A",IF(AND($D43='Auto Responses'!$J$27,$H43=""),"N/A",IF(AND($D43='Auto Responses'!$J$27,$H43='Auto Responses'!$J$7),1,IF(AND($D43='Auto Responses'!$J$27,$H43='Auto Responses'!$J$8),0,IF(OR($F43=$G43,$H43='Auto Responses'!$J$7),1,0)))))</f>
        <v>0</v>
      </c>
      <c r="M43" s="10" t="str">
        <f>VLOOKUP($A43,'Institution Evaluation'!$A$56:$K$346,10,0)&amp;""</f>
        <v/>
      </c>
      <c r="N43" s="10">
        <f t="shared" si="2"/>
        <v>0</v>
      </c>
      <c r="O43" s="114">
        <f t="shared" si="11"/>
        <v>10</v>
      </c>
      <c r="P43" s="114">
        <f t="shared" si="4"/>
        <v>0</v>
      </c>
      <c r="Q43" s="114">
        <f t="shared" si="5"/>
        <v>0</v>
      </c>
      <c r="R43" s="114">
        <f t="shared" si="9"/>
        <v>0</v>
      </c>
      <c r="S43" s="114">
        <f t="shared" si="6"/>
        <v>0</v>
      </c>
      <c r="T43" s="114">
        <f t="shared" si="7"/>
        <v>0</v>
      </c>
      <c r="U43" s="114">
        <f t="shared" si="10"/>
        <v>7</v>
      </c>
      <c r="V43" s="114">
        <f t="shared" si="8"/>
        <v>0</v>
      </c>
    </row>
    <row r="44" spans="1:22" ht="60">
      <c r="A44" s="10" t="str">
        <f>Questions!$A44</f>
        <v>ITAC-13</v>
      </c>
      <c r="B44" s="10" t="str">
        <f t="shared" si="0"/>
        <v>ITAC</v>
      </c>
      <c r="C44" s="10" t="str">
        <f>VLOOKUP($A44,Questions!$A$3:$L$333,2,0)&amp;""</f>
        <v>Have you adopted a technical or legal standard of conformance for the solution?</v>
      </c>
      <c r="D44" s="10" t="str">
        <f>VLOOKUP($A44,Questions!$A$3:$L$333,11,0)&amp;""</f>
        <v/>
      </c>
      <c r="E44" s="10" t="str">
        <f>VLOOKUP($A44,Questions!$A$3:$L$333,12,0)&amp;""</f>
        <v>IT Accessibility</v>
      </c>
      <c r="F44" s="10" t="str">
        <f>VLOOKUP($A44,'Institution Evaluation'!$A$56:$K$346,3,0)&amp;""</f>
        <v>yes</v>
      </c>
      <c r="G44" s="10" t="str">
        <f>VLOOKUP($A44,'Institution Evaluation'!$A$56:$K$346,7,0)&amp;""</f>
        <v>Yes</v>
      </c>
      <c r="H44" s="10" t="str">
        <f>VLOOKUP($A44,'Institution Evaluation'!$A$56:$K$346,8,0)&amp;""</f>
        <v/>
      </c>
      <c r="I44" s="10" t="str">
        <f>VLOOKUP($A44,'Institution Evaluation'!$A$56:$K$346,9,0)&amp;""</f>
        <v>Standard Importance</v>
      </c>
      <c r="J44" s="10" t="str">
        <f>VLOOKUP($A44,'Institution Evaluation'!$A$56:$K$346,10,0)&amp;""</f>
        <v/>
      </c>
      <c r="K44" s="10">
        <f t="shared" si="1"/>
        <v>10</v>
      </c>
      <c r="L44" s="114">
        <f>IF($E44="Not Scored", "N/A",IF(AND($D44='Auto Responses'!$J$27,$H44=""),"N/A",IF(AND($D44='Auto Responses'!$J$27,$H44='Auto Responses'!$J$7),1,IF(AND($D44='Auto Responses'!$J$27,$H44='Auto Responses'!$J$8),0,IF(OR($F44=$G44,$H44='Auto Responses'!$J$7),1,0)))))</f>
        <v>1</v>
      </c>
      <c r="M44" s="10" t="str">
        <f>VLOOKUP($A44,'Institution Evaluation'!$A$56:$K$346,10,0)&amp;""</f>
        <v/>
      </c>
      <c r="N44" s="10">
        <f t="shared" si="2"/>
        <v>0</v>
      </c>
      <c r="O44" s="114">
        <f t="shared" si="11"/>
        <v>10</v>
      </c>
      <c r="P44" s="114">
        <f t="shared" si="4"/>
        <v>10</v>
      </c>
      <c r="Q44" s="114">
        <f t="shared" si="5"/>
        <v>0</v>
      </c>
      <c r="R44" s="114">
        <f t="shared" si="9"/>
        <v>0</v>
      </c>
      <c r="S44" s="114">
        <f t="shared" si="6"/>
        <v>0</v>
      </c>
      <c r="T44" s="114">
        <f t="shared" si="7"/>
        <v>0</v>
      </c>
      <c r="U44" s="114">
        <f t="shared" si="10"/>
        <v>7</v>
      </c>
      <c r="V44" s="114">
        <f t="shared" si="8"/>
        <v>0</v>
      </c>
    </row>
    <row r="45" spans="1:22" ht="60">
      <c r="A45" s="10" t="str">
        <f>Questions!$A45</f>
        <v>ITAC-14</v>
      </c>
      <c r="B45" s="10" t="str">
        <f t="shared" si="0"/>
        <v>ITAC</v>
      </c>
      <c r="C45" s="10" t="str">
        <f>VLOOKUP($A45,Questions!$A$3:$L$333,2,0)&amp;""</f>
        <v>Can you provide a current, detailed accessibility roadmap with delivery timelines?</v>
      </c>
      <c r="D45" s="10" t="str">
        <f>VLOOKUP($A45,Questions!$A$3:$L$333,11,0)&amp;""</f>
        <v/>
      </c>
      <c r="E45" s="10" t="str">
        <f>VLOOKUP($A45,Questions!$A$3:$L$333,12,0)&amp;""</f>
        <v>IT Accessibility</v>
      </c>
      <c r="F45" s="10" t="str">
        <f>VLOOKUP($A45,'Institution Evaluation'!$A$56:$K$346,3,0)&amp;""</f>
        <v>No</v>
      </c>
      <c r="G45" s="10" t="str">
        <f>VLOOKUP($A45,'Institution Evaluation'!$A$56:$K$346,7,0)&amp;""</f>
        <v>Yes</v>
      </c>
      <c r="H45" s="10" t="str">
        <f>VLOOKUP($A45,'Institution Evaluation'!$A$56:$K$346,8,0)&amp;""</f>
        <v/>
      </c>
      <c r="I45" s="10" t="str">
        <f>VLOOKUP($A45,'Institution Evaluation'!$A$56:$K$346,9,0)&amp;""</f>
        <v>Standard Importance</v>
      </c>
      <c r="J45" s="10" t="str">
        <f>VLOOKUP($A45,'Institution Evaluation'!$A$56:$K$346,10,0)&amp;""</f>
        <v/>
      </c>
      <c r="K45" s="10">
        <f t="shared" si="1"/>
        <v>10</v>
      </c>
      <c r="L45" s="114">
        <f>IF($E45="Not Scored", "N/A",IF(AND($D45='Auto Responses'!$J$27,$H45=""),"N/A",IF(AND($D45='Auto Responses'!$J$27,$H45='Auto Responses'!$J$7),1,IF(AND($D45='Auto Responses'!$J$27,$H45='Auto Responses'!$J$8),0,IF(OR($F45=$G45,$H45='Auto Responses'!$J$7),1,0)))))</f>
        <v>0</v>
      </c>
      <c r="M45" s="10" t="str">
        <f>VLOOKUP($A45,'Institution Evaluation'!$A$56:$K$346,10,0)&amp;""</f>
        <v/>
      </c>
      <c r="N45" s="10">
        <f t="shared" si="2"/>
        <v>0</v>
      </c>
      <c r="O45" s="114">
        <f t="shared" si="11"/>
        <v>10</v>
      </c>
      <c r="P45" s="114">
        <f t="shared" si="4"/>
        <v>0</v>
      </c>
      <c r="Q45" s="114">
        <f t="shared" si="5"/>
        <v>0</v>
      </c>
      <c r="R45" s="114">
        <f t="shared" si="9"/>
        <v>0</v>
      </c>
      <c r="S45" s="114">
        <f t="shared" si="6"/>
        <v>0</v>
      </c>
      <c r="T45" s="114">
        <f t="shared" si="7"/>
        <v>0</v>
      </c>
      <c r="U45" s="114">
        <f t="shared" si="10"/>
        <v>7</v>
      </c>
      <c r="V45" s="114">
        <f t="shared" si="8"/>
        <v>0</v>
      </c>
    </row>
    <row r="46" spans="1:22" ht="60">
      <c r="A46" s="10" t="str">
        <f>Questions!$A46</f>
        <v>ITAC-15</v>
      </c>
      <c r="B46" s="10" t="str">
        <f t="shared" si="0"/>
        <v>ITAC</v>
      </c>
      <c r="C46" s="10" t="str">
        <f>VLOOKUP($A46,Questions!$A$3:$L$333,2,0)&amp;""</f>
        <v>Do you expect your staff to maintain a current skill set in IT accessibility?</v>
      </c>
      <c r="D46" s="10" t="str">
        <f>VLOOKUP($A46,Questions!$A$3:$L$333,11,0)&amp;""</f>
        <v/>
      </c>
      <c r="E46" s="10" t="str">
        <f>VLOOKUP($A46,Questions!$A$3:$L$333,12,0)&amp;""</f>
        <v>IT Accessibility</v>
      </c>
      <c r="F46" s="10" t="str">
        <f>VLOOKUP($A46,'Institution Evaluation'!$A$56:$K$346,3,0)&amp;""</f>
        <v>yes</v>
      </c>
      <c r="G46" s="10" t="str">
        <f>VLOOKUP($A46,'Institution Evaluation'!$A$56:$K$346,7,0)&amp;""</f>
        <v>Yes</v>
      </c>
      <c r="H46" s="10" t="str">
        <f>VLOOKUP($A46,'Institution Evaluation'!$A$56:$K$346,8,0)&amp;""</f>
        <v/>
      </c>
      <c r="I46" s="10" t="str">
        <f>VLOOKUP($A46,'Institution Evaluation'!$A$56:$K$346,9,0)&amp;""</f>
        <v>Standard Importance</v>
      </c>
      <c r="J46" s="10" t="str">
        <f>VLOOKUP($A46,'Institution Evaluation'!$A$56:$K$346,10,0)&amp;""</f>
        <v/>
      </c>
      <c r="K46" s="10">
        <f t="shared" si="1"/>
        <v>10</v>
      </c>
      <c r="L46" s="114">
        <f>IF($E46="Not Scored", "N/A",IF(AND($D46='Auto Responses'!$J$27,$H46=""),"N/A",IF(AND($D46='Auto Responses'!$J$27,$H46='Auto Responses'!$J$7),1,IF(AND($D46='Auto Responses'!$J$27,$H46='Auto Responses'!$J$8),0,IF(OR($F46=$G46,$H46='Auto Responses'!$J$7),1,0)))))</f>
        <v>1</v>
      </c>
      <c r="M46" s="10" t="str">
        <f>VLOOKUP($A46,'Institution Evaluation'!$A$56:$K$346,10,0)&amp;""</f>
        <v/>
      </c>
      <c r="N46" s="10">
        <f t="shared" si="2"/>
        <v>0</v>
      </c>
      <c r="O46" s="114">
        <f t="shared" si="11"/>
        <v>10</v>
      </c>
      <c r="P46" s="114">
        <f t="shared" si="4"/>
        <v>10</v>
      </c>
      <c r="Q46" s="114">
        <f t="shared" si="5"/>
        <v>0</v>
      </c>
      <c r="R46" s="114">
        <f t="shared" si="9"/>
        <v>0</v>
      </c>
      <c r="S46" s="114">
        <f t="shared" si="6"/>
        <v>0</v>
      </c>
      <c r="T46" s="114">
        <f t="shared" si="7"/>
        <v>0</v>
      </c>
      <c r="U46" s="114">
        <f t="shared" si="10"/>
        <v>7</v>
      </c>
      <c r="V46" s="114">
        <f t="shared" si="8"/>
        <v>0</v>
      </c>
    </row>
    <row r="47" spans="1:22" ht="60">
      <c r="A47" s="10" t="str">
        <f>Questions!$A47</f>
        <v>ITAC-16</v>
      </c>
      <c r="B47" s="10" t="str">
        <f t="shared" si="0"/>
        <v>ITAC</v>
      </c>
      <c r="C47" s="10" t="str">
        <f>VLOOKUP($A47,Questions!$A$3:$L$333,2,0)&amp;""</f>
        <v>Do you have documented processes and procedures for implementing accessibility into your development lifecycle?</v>
      </c>
      <c r="D47" s="10" t="str">
        <f>VLOOKUP($A47,Questions!$A$3:$L$333,11,0)&amp;""</f>
        <v/>
      </c>
      <c r="E47" s="10" t="str">
        <f>VLOOKUP($A47,Questions!$A$3:$L$333,12,0)&amp;""</f>
        <v>IT Accessibility</v>
      </c>
      <c r="F47" s="10" t="str">
        <f>VLOOKUP($A47,'Institution Evaluation'!$A$56:$K$346,3,0)&amp;""</f>
        <v>yes</v>
      </c>
      <c r="G47" s="10" t="str">
        <f>VLOOKUP($A47,'Institution Evaluation'!$A$56:$K$346,7,0)&amp;""</f>
        <v>Yes</v>
      </c>
      <c r="H47" s="10" t="str">
        <f>VLOOKUP($A47,'Institution Evaluation'!$A$56:$K$346,8,0)&amp;""</f>
        <v/>
      </c>
      <c r="I47" s="10" t="str">
        <f>VLOOKUP($A47,'Institution Evaluation'!$A$56:$K$346,9,0)&amp;""</f>
        <v>Standard Importance</v>
      </c>
      <c r="J47" s="10" t="str">
        <f>VLOOKUP($A47,'Institution Evaluation'!$A$56:$K$346,10,0)&amp;""</f>
        <v/>
      </c>
      <c r="K47" s="10">
        <f t="shared" si="1"/>
        <v>10</v>
      </c>
      <c r="L47" s="114">
        <f>IF($E47="Not Scored", "N/A",IF(AND($D47='Auto Responses'!$J$27,$H47=""),"N/A",IF(AND($D47='Auto Responses'!$J$27,$H47='Auto Responses'!$J$7),1,IF(AND($D47='Auto Responses'!$J$27,$H47='Auto Responses'!$J$8),0,IF(OR($F47=$G47,$H47='Auto Responses'!$J$7),1,0)))))</f>
        <v>1</v>
      </c>
      <c r="M47" s="10" t="str">
        <f>VLOOKUP($A47,'Institution Evaluation'!$A$56:$K$346,10,0)&amp;""</f>
        <v/>
      </c>
      <c r="N47" s="10">
        <f t="shared" si="2"/>
        <v>0</v>
      </c>
      <c r="O47" s="114">
        <f t="shared" si="11"/>
        <v>10</v>
      </c>
      <c r="P47" s="114">
        <f t="shared" si="4"/>
        <v>10</v>
      </c>
      <c r="Q47" s="114">
        <f t="shared" si="5"/>
        <v>0</v>
      </c>
      <c r="R47" s="114">
        <f t="shared" si="9"/>
        <v>0</v>
      </c>
      <c r="S47" s="114">
        <f t="shared" si="6"/>
        <v>0</v>
      </c>
      <c r="T47" s="114">
        <f t="shared" si="7"/>
        <v>0</v>
      </c>
      <c r="U47" s="114">
        <f t="shared" si="10"/>
        <v>7</v>
      </c>
      <c r="V47" s="114">
        <f t="shared" si="8"/>
        <v>0</v>
      </c>
    </row>
    <row r="48" spans="1:22" ht="60">
      <c r="A48" s="10" t="str">
        <f>Questions!$A48</f>
        <v>ITAC-17</v>
      </c>
      <c r="B48" s="10" t="str">
        <f t="shared" si="0"/>
        <v>ITAC</v>
      </c>
      <c r="C48" s="10" t="str">
        <f>VLOOKUP($A48,Questions!$A$3:$L$333,2,0)&amp;""</f>
        <v>Can all functions of the application or service be performed using only the keyboard?</v>
      </c>
      <c r="D48" s="10" t="str">
        <f>VLOOKUP($A48,Questions!$A$3:$L$333,11,0)&amp;""</f>
        <v/>
      </c>
      <c r="E48" s="10" t="str">
        <f>VLOOKUP($A48,Questions!$A$3:$L$333,12,0)&amp;""</f>
        <v>IT Accessibility</v>
      </c>
      <c r="F48" s="10" t="str">
        <f>VLOOKUP($A48,'Institution Evaluation'!$A$56:$K$346,3,0)&amp;""</f>
        <v>Yes</v>
      </c>
      <c r="G48" s="10" t="str">
        <f>VLOOKUP($A48,'Institution Evaluation'!$A$56:$K$346,7,0)&amp;""</f>
        <v>Yes</v>
      </c>
      <c r="H48" s="10" t="str">
        <f>VLOOKUP($A48,'Institution Evaluation'!$A$56:$K$346,8,0)&amp;""</f>
        <v/>
      </c>
      <c r="I48" s="10" t="str">
        <f>VLOOKUP($A48,'Institution Evaluation'!$A$56:$K$346,9,0)&amp;""</f>
        <v>Standard Importance</v>
      </c>
      <c r="J48" s="10" t="str">
        <f>VLOOKUP($A48,'Institution Evaluation'!$A$56:$K$346,10,0)&amp;""</f>
        <v/>
      </c>
      <c r="K48" s="10">
        <f t="shared" si="1"/>
        <v>10</v>
      </c>
      <c r="L48" s="114">
        <f>IF($E48="Not Scored", "N/A",IF(AND($D48='Auto Responses'!$J$27,$H48=""),"N/A",IF(AND($D48='Auto Responses'!$J$27,$H48='Auto Responses'!$J$7),1,IF(AND($D48='Auto Responses'!$J$27,$H48='Auto Responses'!$J$8),0,IF(OR($F48=$G48,$H48='Auto Responses'!$J$7),1,0)))))</f>
        <v>1</v>
      </c>
      <c r="M48" s="10" t="str">
        <f>VLOOKUP($A48,'Institution Evaluation'!$A$56:$K$346,10,0)&amp;""</f>
        <v/>
      </c>
      <c r="N48" s="10">
        <f t="shared" si="2"/>
        <v>0</v>
      </c>
      <c r="O48" s="114">
        <f t="shared" si="11"/>
        <v>10</v>
      </c>
      <c r="P48" s="114">
        <f t="shared" si="4"/>
        <v>10</v>
      </c>
      <c r="Q48" s="114">
        <f t="shared" si="5"/>
        <v>0</v>
      </c>
      <c r="R48" s="114">
        <f t="shared" si="9"/>
        <v>0</v>
      </c>
      <c r="S48" s="114">
        <f t="shared" si="6"/>
        <v>0</v>
      </c>
      <c r="T48" s="114">
        <f t="shared" si="7"/>
        <v>0</v>
      </c>
      <c r="U48" s="114">
        <f t="shared" si="10"/>
        <v>7</v>
      </c>
      <c r="V48" s="114">
        <f t="shared" si="8"/>
        <v>0</v>
      </c>
    </row>
    <row r="49" spans="1:22" ht="60">
      <c r="A49" s="10" t="str">
        <f>Questions!$A49</f>
        <v>ITAC-18</v>
      </c>
      <c r="B49" s="10" t="str">
        <f t="shared" si="0"/>
        <v>ITAC</v>
      </c>
      <c r="C49" s="10" t="str">
        <f>VLOOKUP($A49,Questions!$A$3:$L$333,2,0)&amp;""</f>
        <v>Does your product rely on activating a special "accessibility mode," a "lite version," or using an alternate interface (including “overlay” or AI-based alternates)  for accessibility purposes?</v>
      </c>
      <c r="D49" s="10" t="str">
        <f>VLOOKUP($A49,Questions!$A$3:$L$333,11,0)&amp;""</f>
        <v/>
      </c>
      <c r="E49" s="10" t="str">
        <f>VLOOKUP($A49,Questions!$A$3:$L$333,12,0)&amp;""</f>
        <v>IT Accessibility</v>
      </c>
      <c r="F49" s="10" t="str">
        <f>VLOOKUP($A49,'Institution Evaluation'!$A$56:$K$346,3,0)&amp;""</f>
        <v>No</v>
      </c>
      <c r="G49" s="10" t="str">
        <f>VLOOKUP($A49,'Institution Evaluation'!$A$56:$K$346,7,0)&amp;""</f>
        <v>No</v>
      </c>
      <c r="H49" s="10" t="str">
        <f>VLOOKUP($A49,'Institution Evaluation'!$A$56:$K$346,8,0)&amp;""</f>
        <v/>
      </c>
      <c r="I49" s="10" t="str">
        <f>VLOOKUP($A49,'Institution Evaluation'!$A$56:$K$346,9,0)&amp;""</f>
        <v>Standard Importance</v>
      </c>
      <c r="J49" s="10" t="str">
        <f>VLOOKUP($A49,'Institution Evaluation'!$A$56:$K$346,10,0)&amp;""</f>
        <v/>
      </c>
      <c r="K49" s="10">
        <f t="shared" si="1"/>
        <v>10</v>
      </c>
      <c r="L49" s="114">
        <f>IF($E49="Not Scored", "N/A",IF(AND($D49='Auto Responses'!$J$27,$H49=""),"N/A",IF(AND($D49='Auto Responses'!$J$27,$H49='Auto Responses'!$J$7),1,IF(AND($D49='Auto Responses'!$J$27,$H49='Auto Responses'!$J$8),0,IF(OR($F49=$G49,$H49='Auto Responses'!$J$7),1,0)))))</f>
        <v>1</v>
      </c>
      <c r="M49" s="10" t="str">
        <f>VLOOKUP($A49,'Institution Evaluation'!$A$56:$K$346,10,0)&amp;""</f>
        <v/>
      </c>
      <c r="N49" s="10">
        <f t="shared" si="2"/>
        <v>0</v>
      </c>
      <c r="O49" s="114">
        <f t="shared" si="11"/>
        <v>10</v>
      </c>
      <c r="P49" s="114">
        <f t="shared" si="4"/>
        <v>10</v>
      </c>
      <c r="Q49" s="114">
        <f t="shared" si="5"/>
        <v>0</v>
      </c>
      <c r="R49" s="114">
        <f t="shared" si="9"/>
        <v>0</v>
      </c>
      <c r="S49" s="114">
        <f t="shared" si="6"/>
        <v>0</v>
      </c>
      <c r="T49" s="114">
        <f t="shared" si="7"/>
        <v>0</v>
      </c>
      <c r="U49" s="114">
        <f t="shared" si="10"/>
        <v>7</v>
      </c>
      <c r="V49" s="114">
        <f t="shared" si="8"/>
        <v>0</v>
      </c>
    </row>
    <row r="50" spans="1:22" ht="60">
      <c r="A50" s="10" t="str">
        <f>Questions!$A51</f>
        <v>THRD-02</v>
      </c>
      <c r="B50" s="10" t="str">
        <f t="shared" si="0"/>
        <v>THRD</v>
      </c>
      <c r="C50" s="10" t="str">
        <f>VLOOKUP($A50,Questions!$A$3:$L$333,2,0)&amp;""</f>
        <v>Do you have contractual language in place with third parties governing access to institutional data?*</v>
      </c>
      <c r="D50" s="10" t="str">
        <f>VLOOKUP($A50,Questions!$A$3:$L$333,11,0)&amp;""</f>
        <v/>
      </c>
      <c r="E50" s="10" t="str">
        <f>VLOOKUP($A50,Questions!$A$3:$L$333,12,0)&amp;""</f>
        <v>Organization</v>
      </c>
      <c r="F50" s="10" t="str">
        <f>VLOOKUP($A50,'Institution Evaluation'!$A$56:$K$346,3,0)&amp;""</f>
        <v>yes</v>
      </c>
      <c r="G50" s="10" t="str">
        <f>VLOOKUP($A50,'Institution Evaluation'!$A$56:$K$346,7,0)&amp;""</f>
        <v>Yes</v>
      </c>
      <c r="H50" s="10" t="str">
        <f>VLOOKUP($A50,'Institution Evaluation'!$A$56:$K$346,8,0)&amp;""</f>
        <v/>
      </c>
      <c r="I50" s="10" t="str">
        <f>VLOOKUP($A50,'Institution Evaluation'!$A$56:$K$346,9,0)&amp;""</f>
        <v>Critical Importance</v>
      </c>
      <c r="J50" s="10" t="str">
        <f>VLOOKUP($A50,'Institution Evaluation'!$A$56:$K$346,10,0)&amp;""</f>
        <v/>
      </c>
      <c r="K50" s="10">
        <f t="shared" si="1"/>
        <v>20</v>
      </c>
      <c r="L50" s="114">
        <f>IF($E50="Not Scored", "N/A",IF(AND($D50='Auto Responses'!$J$27,$H50=""),"N/A",IF(AND($D50='Auto Responses'!$J$27,$H50='Auto Responses'!$J$7),1,IF(AND($D50='Auto Responses'!$J$27,$H50='Auto Responses'!$J$8),0,IF(OR($F50=$G50,$H50='Auto Responses'!$J$7),1,0)))))</f>
        <v>1</v>
      </c>
      <c r="M50" s="10" t="str">
        <f>VLOOKUP($A50,'Institution Evaluation'!$A$56:$K$346,10,0)&amp;""</f>
        <v/>
      </c>
      <c r="N50" s="10">
        <f t="shared" si="2"/>
        <v>1</v>
      </c>
      <c r="O50" s="114">
        <f t="shared" si="3"/>
        <v>20</v>
      </c>
      <c r="P50" s="114">
        <f t="shared" si="4"/>
        <v>20</v>
      </c>
      <c r="Q50" s="114">
        <f t="shared" si="5"/>
        <v>0</v>
      </c>
      <c r="R50" s="114">
        <f t="shared" si="9"/>
        <v>0</v>
      </c>
      <c r="S50" s="114">
        <f t="shared" si="6"/>
        <v>0</v>
      </c>
      <c r="T50" s="114">
        <f t="shared" si="7"/>
        <v>1</v>
      </c>
      <c r="U50" s="114">
        <f t="shared" si="10"/>
        <v>8</v>
      </c>
      <c r="V50" s="114">
        <f t="shared" si="8"/>
        <v>8</v>
      </c>
    </row>
    <row r="51" spans="1:22" ht="60">
      <c r="A51" s="10" t="str">
        <f>Questions!$A50</f>
        <v>THRD-01</v>
      </c>
      <c r="B51" s="10" t="str">
        <f t="shared" si="0"/>
        <v>THRD</v>
      </c>
      <c r="C51" s="10" t="str">
        <f>VLOOKUP($A51,Questions!$A$3:$L$333,2,0)&amp;""</f>
        <v>Do you perform security assessments of third-party companies with which you share data (e.g., hosting providers, cloud services, PaaS, IaaS, SaaS)?*</v>
      </c>
      <c r="D51" s="10" t="str">
        <f>VLOOKUP($A51,Questions!$A$3:$L$333,11,0)&amp;""</f>
        <v/>
      </c>
      <c r="E51" s="10" t="str">
        <f>VLOOKUP($A51,Questions!$A$3:$L$333,12,0)&amp;""</f>
        <v>Organization</v>
      </c>
      <c r="F51" s="10" t="str">
        <f>VLOOKUP($A51,'Institution Evaluation'!$A$56:$K$346,3,0)&amp;""</f>
        <v>yes</v>
      </c>
      <c r="G51" s="10" t="str">
        <f>VLOOKUP($A51,'Institution Evaluation'!$A$56:$K$346,7,0)&amp;""</f>
        <v>Yes</v>
      </c>
      <c r="H51" s="10" t="str">
        <f>VLOOKUP($A51,'Institution Evaluation'!$A$56:$K$346,8,0)&amp;""</f>
        <v/>
      </c>
      <c r="I51" s="10" t="str">
        <f>VLOOKUP($A51,'Institution Evaluation'!$A$56:$K$346,9,0)&amp;""</f>
        <v>Critical Importance</v>
      </c>
      <c r="J51" s="10" t="str">
        <f>VLOOKUP($A51,'Institution Evaluation'!$A$56:$K$346,10,0)&amp;""</f>
        <v/>
      </c>
      <c r="K51" s="10">
        <f t="shared" si="1"/>
        <v>20</v>
      </c>
      <c r="L51" s="114">
        <f>IF($E51="Not Scored", "N/A",IF(AND($D51='Auto Responses'!$J$27,$H51=""),"N/A",IF(AND($D51='Auto Responses'!$J$27,$H51='Auto Responses'!$J$7),1,IF(AND($D51='Auto Responses'!$J$27,$H51='Auto Responses'!$J$8),0,IF(OR($F51=$G51,$H51='Auto Responses'!$J$7),1,0)))))</f>
        <v>1</v>
      </c>
      <c r="M51" s="10" t="str">
        <f>VLOOKUP($A51,'Institution Evaluation'!$A$56:$K$346,10,0)&amp;""</f>
        <v/>
      </c>
      <c r="N51" s="10">
        <f t="shared" si="2"/>
        <v>1</v>
      </c>
      <c r="O51" s="114">
        <f t="shared" si="3"/>
        <v>20</v>
      </c>
      <c r="P51" s="114">
        <f t="shared" si="4"/>
        <v>20</v>
      </c>
      <c r="Q51" s="114">
        <f t="shared" si="5"/>
        <v>0</v>
      </c>
      <c r="R51" s="114">
        <f t="shared" si="9"/>
        <v>0</v>
      </c>
      <c r="S51" s="114">
        <f t="shared" si="6"/>
        <v>0</v>
      </c>
      <c r="T51" s="114">
        <f t="shared" si="7"/>
        <v>1</v>
      </c>
      <c r="U51" s="114">
        <f t="shared" si="10"/>
        <v>9</v>
      </c>
      <c r="V51" s="114">
        <f t="shared" si="8"/>
        <v>9</v>
      </c>
    </row>
    <row r="52" spans="1:22" ht="60">
      <c r="A52" s="10" t="str">
        <f>Questions!$A52</f>
        <v>THRD-03</v>
      </c>
      <c r="B52" s="10" t="str">
        <f t="shared" si="0"/>
        <v>THRD</v>
      </c>
      <c r="C52" s="10" t="str">
        <f>VLOOKUP($A52,Questions!$A$3:$L$333,2,0)&amp;""</f>
        <v>Do the contracts in place with these third parties address liability in the event of a data breach?*</v>
      </c>
      <c r="D52" s="10" t="str">
        <f>VLOOKUP($A52,Questions!$A$3:$L$333,11,0)&amp;""</f>
        <v/>
      </c>
      <c r="E52" s="10" t="str">
        <f>VLOOKUP($A52,Questions!$A$3:$L$333,12,0)&amp;""</f>
        <v>Organization</v>
      </c>
      <c r="F52" s="10" t="str">
        <f>VLOOKUP($A52,'Institution Evaluation'!$A$56:$K$346,3,0)&amp;""</f>
        <v>yes</v>
      </c>
      <c r="G52" s="10" t="str">
        <f>VLOOKUP($A52,'Institution Evaluation'!$A$56:$K$346,7,0)&amp;""</f>
        <v>Yes</v>
      </c>
      <c r="H52" s="10" t="str">
        <f>VLOOKUP($A52,'Institution Evaluation'!$A$56:$K$346,8,0)&amp;""</f>
        <v/>
      </c>
      <c r="I52" s="10" t="str">
        <f>VLOOKUP($A52,'Institution Evaluation'!$A$56:$K$346,9,0)&amp;""</f>
        <v>Critical Importance</v>
      </c>
      <c r="J52" s="10" t="str">
        <f>VLOOKUP($A52,'Institution Evaluation'!$A$56:$K$346,10,0)&amp;""</f>
        <v/>
      </c>
      <c r="K52" s="10">
        <f t="shared" si="1"/>
        <v>20</v>
      </c>
      <c r="L52" s="114">
        <f>IF($E52="Not Scored", "N/A",IF(AND($D52='Auto Responses'!$J$27,$H52=""),"N/A",IF(AND($D52='Auto Responses'!$J$27,$H52='Auto Responses'!$J$7),1,IF(AND($D52='Auto Responses'!$J$27,$H52='Auto Responses'!$J$8),0,IF(OR($F52=$G52,$H52='Auto Responses'!$J$7),1,0)))))</f>
        <v>1</v>
      </c>
      <c r="M52" s="10" t="str">
        <f>VLOOKUP($A52,'Institution Evaluation'!$A$56:$K$346,10,0)&amp;""</f>
        <v/>
      </c>
      <c r="N52" s="10">
        <f t="shared" si="2"/>
        <v>1</v>
      </c>
      <c r="O52" s="114">
        <f t="shared" si="3"/>
        <v>20</v>
      </c>
      <c r="P52" s="114">
        <f t="shared" si="4"/>
        <v>20</v>
      </c>
      <c r="Q52" s="114">
        <f t="shared" si="5"/>
        <v>0</v>
      </c>
      <c r="R52" s="114">
        <f t="shared" si="9"/>
        <v>0</v>
      </c>
      <c r="S52" s="114">
        <f t="shared" si="6"/>
        <v>0</v>
      </c>
      <c r="T52" s="114">
        <f t="shared" si="7"/>
        <v>1</v>
      </c>
      <c r="U52" s="114">
        <f t="shared" si="10"/>
        <v>10</v>
      </c>
      <c r="V52" s="114">
        <f t="shared" si="8"/>
        <v>10</v>
      </c>
    </row>
    <row r="53" spans="1:22" ht="60">
      <c r="A53" s="10" t="str">
        <f>Questions!$A53</f>
        <v>THRD-04</v>
      </c>
      <c r="B53" s="10" t="str">
        <f t="shared" si="0"/>
        <v>THRD</v>
      </c>
      <c r="C53" s="10" t="str">
        <f>VLOOKUP($A53,Questions!$A$3:$L$333,2,0)&amp;""</f>
        <v>Do you have an implemented third-party management strategy?*</v>
      </c>
      <c r="D53" s="10" t="str">
        <f>VLOOKUP($A53,Questions!$A$3:$L$333,11,0)&amp;""</f>
        <v/>
      </c>
      <c r="E53" s="10" t="str">
        <f>VLOOKUP($A53,Questions!$A$3:$L$333,12,0)&amp;""</f>
        <v>Organization</v>
      </c>
      <c r="F53" s="10" t="str">
        <f>VLOOKUP($A53,'Institution Evaluation'!$A$56:$K$346,3,0)&amp;""</f>
        <v>yes</v>
      </c>
      <c r="G53" s="10" t="str">
        <f>VLOOKUP($A53,'Institution Evaluation'!$A$56:$K$346,7,0)&amp;""</f>
        <v>Yes</v>
      </c>
      <c r="H53" s="10" t="str">
        <f>VLOOKUP($A53,'Institution Evaluation'!$A$56:$K$346,8,0)&amp;""</f>
        <v/>
      </c>
      <c r="I53" s="10" t="str">
        <f>VLOOKUP($A53,'Institution Evaluation'!$A$56:$K$346,9,0)&amp;""</f>
        <v>Critical Importance</v>
      </c>
      <c r="J53" s="10" t="str">
        <f>VLOOKUP($A53,'Institution Evaluation'!$A$56:$K$346,10,0)&amp;""</f>
        <v/>
      </c>
      <c r="K53" s="10">
        <f t="shared" si="1"/>
        <v>20</v>
      </c>
      <c r="L53" s="114">
        <f>IF($E53="Not Scored", "N/A",IF(AND($D53='Auto Responses'!$J$27,$H53=""),"N/A",IF(AND($D53='Auto Responses'!$J$27,$H53='Auto Responses'!$J$7),1,IF(AND($D53='Auto Responses'!$J$27,$H53='Auto Responses'!$J$8),0,IF(OR($F53=$G53,$H53='Auto Responses'!$J$7),1,0)))))</f>
        <v>1</v>
      </c>
      <c r="M53" s="10" t="str">
        <f>VLOOKUP($A53,'Institution Evaluation'!$A$56:$K$346,10,0)&amp;""</f>
        <v/>
      </c>
      <c r="N53" s="10">
        <f t="shared" si="2"/>
        <v>1</v>
      </c>
      <c r="O53" s="114">
        <f t="shared" si="3"/>
        <v>20</v>
      </c>
      <c r="P53" s="114">
        <f t="shared" si="4"/>
        <v>20</v>
      </c>
      <c r="Q53" s="114">
        <f t="shared" si="5"/>
        <v>0</v>
      </c>
      <c r="R53" s="114">
        <f t="shared" si="9"/>
        <v>0</v>
      </c>
      <c r="S53" s="114">
        <f t="shared" si="6"/>
        <v>0</v>
      </c>
      <c r="T53" s="114">
        <f t="shared" si="7"/>
        <v>1</v>
      </c>
      <c r="U53" s="114">
        <f t="shared" si="10"/>
        <v>11</v>
      </c>
      <c r="V53" s="114">
        <f t="shared" si="8"/>
        <v>11</v>
      </c>
    </row>
    <row r="54" spans="1:22" ht="60">
      <c r="A54" s="10" t="str">
        <f>Questions!$A54</f>
        <v>THRD-05</v>
      </c>
      <c r="B54" s="10" t="str">
        <f t="shared" si="0"/>
        <v>THRD</v>
      </c>
      <c r="C54" s="10" t="str">
        <f>VLOOKUP($A54,Questions!$A$3:$L$333,2,0)&amp;""</f>
        <v>Do you have a process and implemented procedures for managing your hardware supply chain (e.g., telecommunications equipment, export licensing, computing devices)?</v>
      </c>
      <c r="D54" s="10" t="str">
        <f>VLOOKUP($A54,Questions!$A$3:$L$333,11,0)&amp;""</f>
        <v/>
      </c>
      <c r="E54" s="10" t="str">
        <f>VLOOKUP($A54,Questions!$A$3:$L$333,12,0)&amp;""</f>
        <v>Organization</v>
      </c>
      <c r="F54" s="10" t="str">
        <f>VLOOKUP($A54,'Institution Evaluation'!$A$56:$K$346,3,0)&amp;""</f>
        <v>yes</v>
      </c>
      <c r="G54" s="10" t="str">
        <f>VLOOKUP($A54,'Institution Evaluation'!$A$56:$K$346,7,0)&amp;""</f>
        <v>Yes</v>
      </c>
      <c r="H54" s="10" t="str">
        <f>VLOOKUP($A54,'Institution Evaluation'!$A$56:$K$346,8,0)&amp;""</f>
        <v/>
      </c>
      <c r="I54" s="10" t="str">
        <f>VLOOKUP($A54,'Institution Evaluation'!$A$56:$K$346,9,0)&amp;""</f>
        <v>Standard Importance</v>
      </c>
      <c r="J54" s="10" t="str">
        <f>VLOOKUP($A54,'Institution Evaluation'!$A$56:$K$346,10,0)&amp;""</f>
        <v/>
      </c>
      <c r="K54" s="10">
        <f t="shared" si="1"/>
        <v>10</v>
      </c>
      <c r="L54" s="114">
        <f>IF($E54="Not Scored", "N/A",IF(AND($D54='Auto Responses'!$J$27,$H54=""),"N/A",IF(AND($D54='Auto Responses'!$J$27,$H54='Auto Responses'!$J$7),1,IF(AND($D54='Auto Responses'!$J$27,$H54='Auto Responses'!$J$8),0,IF(OR($F54=$G54,$H54='Auto Responses'!$J$7),1,0)))))</f>
        <v>1</v>
      </c>
      <c r="M54" s="10" t="str">
        <f>VLOOKUP($A54,'Institution Evaluation'!$A$56:$K$346,10,0)&amp;""</f>
        <v/>
      </c>
      <c r="N54" s="10">
        <f t="shared" si="2"/>
        <v>0</v>
      </c>
      <c r="O54" s="114">
        <f t="shared" si="3"/>
        <v>10</v>
      </c>
      <c r="P54" s="114">
        <f t="shared" si="4"/>
        <v>10</v>
      </c>
      <c r="Q54" s="114">
        <f t="shared" si="5"/>
        <v>0</v>
      </c>
      <c r="R54" s="114">
        <f t="shared" si="9"/>
        <v>0</v>
      </c>
      <c r="S54" s="114">
        <f t="shared" si="6"/>
        <v>0</v>
      </c>
      <c r="T54" s="114">
        <f t="shared" si="7"/>
        <v>0</v>
      </c>
      <c r="U54" s="114">
        <f t="shared" si="10"/>
        <v>11</v>
      </c>
      <c r="V54" s="114">
        <f t="shared" si="8"/>
        <v>0</v>
      </c>
    </row>
    <row r="55" spans="1:22" ht="60">
      <c r="A55" s="10" t="str">
        <f>Questions!$A55</f>
        <v>CONS-01</v>
      </c>
      <c r="B55" s="10" t="str">
        <f t="shared" si="0"/>
        <v>CONS</v>
      </c>
      <c r="C55" s="10" t="str">
        <f>VLOOKUP($A55,Questions!$A$3:$L$333,2,0)&amp;""</f>
        <v>Will the consultant require access to the institution's network resources?*</v>
      </c>
      <c r="D55" s="10" t="str">
        <f>VLOOKUP($A55,Questions!$A$3:$L$333,11,0)&amp;""</f>
        <v/>
      </c>
      <c r="E55" s="10" t="str">
        <f>VLOOKUP($A55,Questions!$A$3:$L$333,12,0)&amp;""</f>
        <v>Case-Specific</v>
      </c>
      <c r="F55" s="10" t="str">
        <f>VLOOKUP($A55,'Institution Evaluation'!$A$56:$K$346,3,0)&amp;""</f>
        <v/>
      </c>
      <c r="G55" s="10" t="str">
        <f>VLOOKUP($A55,'Institution Evaluation'!$A$56:$K$346,7,0)&amp;""</f>
        <v>No</v>
      </c>
      <c r="H55" s="10" t="str">
        <f>VLOOKUP($A55,'Institution Evaluation'!$A$56:$K$346,8,0)&amp;""</f>
        <v/>
      </c>
      <c r="I55" s="10" t="str">
        <f>VLOOKUP($A55,'Institution Evaluation'!$A$56:$K$346,9,0)&amp;""</f>
        <v>Critical Importance</v>
      </c>
      <c r="J55" s="10" t="str">
        <f>VLOOKUP($A55,'Institution Evaluation'!$A$56:$K$346,10,0)&amp;""</f>
        <v/>
      </c>
      <c r="K55" s="10">
        <f t="shared" si="1"/>
        <v>20</v>
      </c>
      <c r="L55" s="114">
        <f>IF($E55="Not Scored", "N/A",IF(AND($D55='Auto Responses'!$J$27,$H55=""),"N/A",IF(AND($D55='Auto Responses'!$J$27,$H55='Auto Responses'!$J$7),1,IF(AND($D55='Auto Responses'!$J$27,$H55='Auto Responses'!$J$8),0,IF(OR($F55=$G55,$H55='Auto Responses'!$J$7),1,0)))))</f>
        <v>0</v>
      </c>
      <c r="M55" s="10" t="str">
        <f>VLOOKUP($A55,'Institution Evaluation'!$A$56:$K$346,10,0)&amp;""</f>
        <v/>
      </c>
      <c r="N55" s="10">
        <f t="shared" si="2"/>
        <v>1</v>
      </c>
      <c r="O55" s="114" t="str">
        <f>IF(OR($F$19="No",$E55="Not Scored"),"N/A",IF($J55="",$K55,IF($J55="Minor Importance",5,IF($J55="Standard Importance",10,IF($J55="Critical Importance",20,0)))))</f>
        <v>N/A</v>
      </c>
      <c r="P55" s="114" t="str">
        <f t="shared" si="4"/>
        <v>N/A</v>
      </c>
      <c r="Q55" s="114">
        <f t="shared" si="5"/>
        <v>0</v>
      </c>
      <c r="R55" s="114">
        <f t="shared" si="9"/>
        <v>0</v>
      </c>
      <c r="S55" s="114">
        <f t="shared" si="6"/>
        <v>0</v>
      </c>
      <c r="T55" s="114">
        <f t="shared" si="7"/>
        <v>1</v>
      </c>
      <c r="U55" s="114">
        <f t="shared" si="10"/>
        <v>12</v>
      </c>
      <c r="V55" s="114">
        <f t="shared" si="8"/>
        <v>12</v>
      </c>
    </row>
    <row r="56" spans="1:22" ht="60">
      <c r="A56" s="10" t="str">
        <f>Questions!$A56</f>
        <v>CONS-02</v>
      </c>
      <c r="B56" s="10" t="str">
        <f t="shared" si="0"/>
        <v>CONS</v>
      </c>
      <c r="C56" s="10" t="str">
        <f>VLOOKUP($A56,Questions!$A$3:$L$333,2,0)&amp;""</f>
        <v>Has the consultant received training on (sensitive, HIPAA, PCI, etc.) data handling?*</v>
      </c>
      <c r="D56" s="10" t="str">
        <f>VLOOKUP($A56,Questions!$A$3:$L$333,11,0)&amp;""</f>
        <v/>
      </c>
      <c r="E56" s="10" t="str">
        <f>VLOOKUP($A56,Questions!$A$3:$L$333,12,0)&amp;""</f>
        <v>Case-Specific</v>
      </c>
      <c r="F56" s="10" t="str">
        <f>VLOOKUP($A56,'Institution Evaluation'!$A$56:$K$346,3,0)&amp;""</f>
        <v/>
      </c>
      <c r="G56" s="10" t="str">
        <f>VLOOKUP($A56,'Institution Evaluation'!$A$56:$K$346,7,0)&amp;""</f>
        <v>Yes</v>
      </c>
      <c r="H56" s="10" t="str">
        <f>VLOOKUP($A56,'Institution Evaluation'!$A$56:$K$346,8,0)&amp;""</f>
        <v/>
      </c>
      <c r="I56" s="10" t="str">
        <f>VLOOKUP($A56,'Institution Evaluation'!$A$56:$K$346,9,0)&amp;""</f>
        <v>Critical Importance</v>
      </c>
      <c r="J56" s="10" t="str">
        <f>VLOOKUP($A56,'Institution Evaluation'!$A$56:$K$346,10,0)&amp;""</f>
        <v/>
      </c>
      <c r="K56" s="10">
        <f t="shared" si="1"/>
        <v>20</v>
      </c>
      <c r="L56" s="114">
        <f>IF($E56="Not Scored", "N/A",IF(AND($D56='Auto Responses'!$J$27,$H56=""),"N/A",IF(AND($D56='Auto Responses'!$J$27,$H56='Auto Responses'!$J$7),1,IF(AND($D56='Auto Responses'!$J$27,$H56='Auto Responses'!$J$8),0,IF(OR($F56=$G56,$H56='Auto Responses'!$J$7),1,0)))))</f>
        <v>0</v>
      </c>
      <c r="M56" s="10" t="str">
        <f>VLOOKUP($A56,'Institution Evaluation'!$A$56:$K$346,10,0)&amp;""</f>
        <v/>
      </c>
      <c r="N56" s="10">
        <f t="shared" si="2"/>
        <v>1</v>
      </c>
      <c r="O56" s="114" t="str">
        <f t="shared" ref="O56:O63" si="12">IF(OR($F$19="No",$E56="Not Scored"),"N/A",IF($J56="",$K56,IF($J56="Minor Importance",5,IF($J56="Standard Importance",10,IF($J56="Critical Importance",20,0)))))</f>
        <v>N/A</v>
      </c>
      <c r="P56" s="114" t="str">
        <f t="shared" si="4"/>
        <v>N/A</v>
      </c>
      <c r="Q56" s="114">
        <f t="shared" si="5"/>
        <v>0</v>
      </c>
      <c r="R56" s="114">
        <f t="shared" si="9"/>
        <v>0</v>
      </c>
      <c r="S56" s="114">
        <f t="shared" si="6"/>
        <v>0</v>
      </c>
      <c r="T56" s="114">
        <f t="shared" si="7"/>
        <v>1</v>
      </c>
      <c r="U56" s="114">
        <f t="shared" si="10"/>
        <v>13</v>
      </c>
      <c r="V56" s="114">
        <f t="shared" si="8"/>
        <v>13</v>
      </c>
    </row>
    <row r="57" spans="1:22" ht="60">
      <c r="A57" s="10" t="str">
        <f>Questions!$A57</f>
        <v>CONS-03</v>
      </c>
      <c r="B57" s="10" t="str">
        <f t="shared" si="0"/>
        <v>CONS</v>
      </c>
      <c r="C57" s="10" t="str">
        <f>VLOOKUP($A57,Questions!$A$3:$L$333,2,0)&amp;""</f>
        <v>Is the data encrypted (at rest) while in the consultant's possession?*</v>
      </c>
      <c r="D57" s="10" t="str">
        <f>VLOOKUP($A57,Questions!$A$3:$L$333,11,0)&amp;""</f>
        <v/>
      </c>
      <c r="E57" s="10" t="str">
        <f>VLOOKUP($A57,Questions!$A$3:$L$333,12,0)&amp;""</f>
        <v>Case-Specific</v>
      </c>
      <c r="F57" s="10" t="str">
        <f>VLOOKUP($A57,'Institution Evaluation'!$A$56:$K$346,3,0)&amp;""</f>
        <v/>
      </c>
      <c r="G57" s="10" t="str">
        <f>VLOOKUP($A57,'Institution Evaluation'!$A$56:$K$346,7,0)&amp;""</f>
        <v>Yes</v>
      </c>
      <c r="H57" s="10" t="str">
        <f>VLOOKUP($A57,'Institution Evaluation'!$A$56:$K$346,8,0)&amp;""</f>
        <v/>
      </c>
      <c r="I57" s="10" t="str">
        <f>VLOOKUP($A57,'Institution Evaluation'!$A$56:$K$346,9,0)&amp;""</f>
        <v>Critical Importance</v>
      </c>
      <c r="J57" s="10" t="str">
        <f>VLOOKUP($A57,'Institution Evaluation'!$A$56:$K$346,10,0)&amp;""</f>
        <v/>
      </c>
      <c r="K57" s="10">
        <f t="shared" si="1"/>
        <v>20</v>
      </c>
      <c r="L57" s="114">
        <f>IF($E57="Not Scored", "N/A",IF(AND($D57='Auto Responses'!$J$27,$H57=""),"N/A",IF(AND($D57='Auto Responses'!$J$27,$H57='Auto Responses'!$J$7),1,IF(AND($D57='Auto Responses'!$J$27,$H57='Auto Responses'!$J$8),0,IF(OR($F57=$G57,$H57='Auto Responses'!$J$7),1,0)))))</f>
        <v>0</v>
      </c>
      <c r="M57" s="10" t="str">
        <f>VLOOKUP($A57,'Institution Evaluation'!$A$56:$K$346,10,0)&amp;""</f>
        <v/>
      </c>
      <c r="N57" s="10">
        <f t="shared" si="2"/>
        <v>1</v>
      </c>
      <c r="O57" s="114" t="str">
        <f t="shared" si="12"/>
        <v>N/A</v>
      </c>
      <c r="P57" s="114" t="str">
        <f t="shared" si="4"/>
        <v>N/A</v>
      </c>
      <c r="Q57" s="114">
        <f t="shared" si="5"/>
        <v>0</v>
      </c>
      <c r="R57" s="114">
        <f t="shared" si="9"/>
        <v>0</v>
      </c>
      <c r="S57" s="114">
        <f t="shared" si="6"/>
        <v>0</v>
      </c>
      <c r="T57" s="114">
        <f t="shared" si="7"/>
        <v>1</v>
      </c>
      <c r="U57" s="114">
        <f t="shared" si="10"/>
        <v>14</v>
      </c>
      <c r="V57" s="114">
        <f t="shared" si="8"/>
        <v>14</v>
      </c>
    </row>
    <row r="58" spans="1:22" ht="60">
      <c r="A58" s="10" t="str">
        <f>Questions!$A58</f>
        <v>CONS-04</v>
      </c>
      <c r="B58" s="10" t="str">
        <f t="shared" si="0"/>
        <v>CONS</v>
      </c>
      <c r="C58" s="10" t="str">
        <f>VLOOKUP($A58,Questions!$A$3:$L$333,2,0)&amp;""</f>
        <v>Can access be restricted based on source IP address?*</v>
      </c>
      <c r="D58" s="10" t="str">
        <f>VLOOKUP($A58,Questions!$A$3:$L$333,11,0)&amp;""</f>
        <v/>
      </c>
      <c r="E58" s="10" t="str">
        <f>VLOOKUP($A58,Questions!$A$3:$L$333,12,0)&amp;""</f>
        <v>Case-Specific</v>
      </c>
      <c r="F58" s="10" t="str">
        <f>VLOOKUP($A58,'Institution Evaluation'!$A$56:$K$346,3,0)&amp;""</f>
        <v/>
      </c>
      <c r="G58" s="10" t="str">
        <f>VLOOKUP($A58,'Institution Evaluation'!$A$56:$K$346,7,0)&amp;""</f>
        <v>Yes</v>
      </c>
      <c r="H58" s="10" t="str">
        <f>VLOOKUP($A58,'Institution Evaluation'!$A$56:$K$346,8,0)&amp;""</f>
        <v/>
      </c>
      <c r="I58" s="10" t="str">
        <f>VLOOKUP($A58,'Institution Evaluation'!$A$56:$K$346,9,0)&amp;""</f>
        <v>Critical Importance</v>
      </c>
      <c r="J58" s="10" t="str">
        <f>VLOOKUP($A58,'Institution Evaluation'!$A$56:$K$346,10,0)&amp;""</f>
        <v/>
      </c>
      <c r="K58" s="10">
        <f t="shared" si="1"/>
        <v>20</v>
      </c>
      <c r="L58" s="114">
        <f>IF($E58="Not Scored", "N/A",IF(AND($D58='Auto Responses'!$J$27,$H58=""),"N/A",IF(AND($D58='Auto Responses'!$J$27,$H58='Auto Responses'!$J$7),1,IF(AND($D58='Auto Responses'!$J$27,$H58='Auto Responses'!$J$8),0,IF(OR($F58=$G58,$H58='Auto Responses'!$J$7),1,0)))))</f>
        <v>0</v>
      </c>
      <c r="M58" s="10" t="str">
        <f>VLOOKUP($A58,'Institution Evaluation'!$A$56:$K$346,10,0)&amp;""</f>
        <v/>
      </c>
      <c r="N58" s="10">
        <f t="shared" si="2"/>
        <v>1</v>
      </c>
      <c r="O58" s="114" t="str">
        <f t="shared" si="12"/>
        <v>N/A</v>
      </c>
      <c r="P58" s="114" t="str">
        <f t="shared" si="4"/>
        <v>N/A</v>
      </c>
      <c r="Q58" s="114">
        <f t="shared" si="5"/>
        <v>0</v>
      </c>
      <c r="R58" s="114">
        <f t="shared" si="9"/>
        <v>0</v>
      </c>
      <c r="S58" s="114">
        <f t="shared" si="6"/>
        <v>0</v>
      </c>
      <c r="T58" s="114">
        <f t="shared" si="7"/>
        <v>1</v>
      </c>
      <c r="U58" s="114">
        <f t="shared" si="10"/>
        <v>15</v>
      </c>
      <c r="V58" s="114">
        <f t="shared" si="8"/>
        <v>15</v>
      </c>
    </row>
    <row r="59" spans="1:22" ht="60">
      <c r="A59" s="10" t="str">
        <f>Questions!$A59</f>
        <v>CONS-05</v>
      </c>
      <c r="B59" s="10" t="str">
        <f t="shared" si="0"/>
        <v>CONS</v>
      </c>
      <c r="C59" s="10" t="str">
        <f>VLOOKUP($A59,Questions!$A$3:$L$333,2,0)&amp;""</f>
        <v>Will the consulting take place on-premises?</v>
      </c>
      <c r="D59" s="10" t="str">
        <f>VLOOKUP($A59,Questions!$A$3:$L$333,11,0)&amp;""</f>
        <v/>
      </c>
      <c r="E59" s="10" t="str">
        <f>VLOOKUP($A59,Questions!$A$3:$L$333,12,0)&amp;""</f>
        <v>Case-Specific</v>
      </c>
      <c r="F59" s="10" t="str">
        <f>VLOOKUP($A59,'Institution Evaluation'!$A$56:$K$346,3,0)&amp;""</f>
        <v/>
      </c>
      <c r="G59" s="10" t="str">
        <f>VLOOKUP($A59,'Institution Evaluation'!$A$56:$K$346,7,0)&amp;""</f>
        <v>No</v>
      </c>
      <c r="H59" s="10" t="str">
        <f>VLOOKUP($A59,'Institution Evaluation'!$A$56:$K$346,8,0)&amp;""</f>
        <v/>
      </c>
      <c r="I59" s="10" t="str">
        <f>VLOOKUP($A59,'Institution Evaluation'!$A$56:$K$346,9,0)&amp;""</f>
        <v>Standard Importance</v>
      </c>
      <c r="J59" s="10" t="str">
        <f>VLOOKUP($A59,'Institution Evaluation'!$A$56:$K$346,10,0)&amp;""</f>
        <v/>
      </c>
      <c r="K59" s="10">
        <f t="shared" si="1"/>
        <v>10</v>
      </c>
      <c r="L59" s="114">
        <f>IF($E59="Not Scored", "N/A",IF(AND($D59='Auto Responses'!$J$27,$H59=""),"N/A",IF(AND($D59='Auto Responses'!$J$27,$H59='Auto Responses'!$J$7),1,IF(AND($D59='Auto Responses'!$J$27,$H59='Auto Responses'!$J$8),0,IF(OR($F59=$G59,$H59='Auto Responses'!$J$7),1,0)))))</f>
        <v>0</v>
      </c>
      <c r="M59" s="10" t="str">
        <f>VLOOKUP($A59,'Institution Evaluation'!$A$56:$K$346,10,0)&amp;""</f>
        <v/>
      </c>
      <c r="N59" s="10">
        <f t="shared" si="2"/>
        <v>0</v>
      </c>
      <c r="O59" s="114" t="str">
        <f t="shared" si="12"/>
        <v>N/A</v>
      </c>
      <c r="P59" s="114" t="str">
        <f t="shared" si="4"/>
        <v>N/A</v>
      </c>
      <c r="Q59" s="114">
        <f t="shared" si="5"/>
        <v>0</v>
      </c>
      <c r="R59" s="114">
        <f t="shared" si="9"/>
        <v>0</v>
      </c>
      <c r="S59" s="114">
        <f t="shared" si="6"/>
        <v>0</v>
      </c>
      <c r="T59" s="114">
        <f t="shared" si="7"/>
        <v>0</v>
      </c>
      <c r="U59" s="114">
        <f t="shared" si="10"/>
        <v>15</v>
      </c>
      <c r="V59" s="114">
        <f t="shared" si="8"/>
        <v>0</v>
      </c>
    </row>
    <row r="60" spans="1:22" ht="60">
      <c r="A60" s="10" t="str">
        <f>Questions!$A60</f>
        <v>CONS-06</v>
      </c>
      <c r="B60" s="10" t="str">
        <f t="shared" si="0"/>
        <v>CONS</v>
      </c>
      <c r="C60" s="10" t="str">
        <f>VLOOKUP($A60,Questions!$A$3:$L$333,2,0)&amp;""</f>
        <v>Will the consultant require access to hardware in the institution's data centers?</v>
      </c>
      <c r="D60" s="10" t="str">
        <f>VLOOKUP($A60,Questions!$A$3:$L$333,11,0)&amp;""</f>
        <v/>
      </c>
      <c r="E60" s="10" t="str">
        <f>VLOOKUP($A60,Questions!$A$3:$L$333,12,0)&amp;""</f>
        <v>Case-Specific</v>
      </c>
      <c r="F60" s="10" t="str">
        <f>VLOOKUP($A60,'Institution Evaluation'!$A$56:$K$346,3,0)&amp;""</f>
        <v/>
      </c>
      <c r="G60" s="10" t="str">
        <f>VLOOKUP($A60,'Institution Evaluation'!$A$56:$K$346,7,0)&amp;""</f>
        <v>No</v>
      </c>
      <c r="H60" s="10" t="str">
        <f>VLOOKUP($A60,'Institution Evaluation'!$A$56:$K$346,8,0)&amp;""</f>
        <v/>
      </c>
      <c r="I60" s="10" t="str">
        <f>VLOOKUP($A60,'Institution Evaluation'!$A$56:$K$346,9,0)&amp;""</f>
        <v>Standard Importance</v>
      </c>
      <c r="J60" s="10" t="str">
        <f>VLOOKUP($A60,'Institution Evaluation'!$A$56:$K$346,10,0)&amp;""</f>
        <v/>
      </c>
      <c r="K60" s="10">
        <f t="shared" si="1"/>
        <v>10</v>
      </c>
      <c r="L60" s="114">
        <f>IF($E60="Not Scored", "N/A",IF(AND($D60='Auto Responses'!$J$27,$H60=""),"N/A",IF(AND($D60='Auto Responses'!$J$27,$H60='Auto Responses'!$J$7),1,IF(AND($D60='Auto Responses'!$J$27,$H60='Auto Responses'!$J$8),0,IF(OR($F60=$G60,$H60='Auto Responses'!$J$7),1,0)))))</f>
        <v>0</v>
      </c>
      <c r="M60" s="10" t="str">
        <f>VLOOKUP($A60,'Institution Evaluation'!$A$56:$K$346,10,0)&amp;""</f>
        <v/>
      </c>
      <c r="N60" s="10">
        <f t="shared" si="2"/>
        <v>0</v>
      </c>
      <c r="O60" s="114" t="str">
        <f t="shared" si="12"/>
        <v>N/A</v>
      </c>
      <c r="P60" s="114" t="str">
        <f t="shared" si="4"/>
        <v>N/A</v>
      </c>
      <c r="Q60" s="114">
        <f t="shared" si="5"/>
        <v>0</v>
      </c>
      <c r="R60" s="114">
        <f t="shared" si="9"/>
        <v>0</v>
      </c>
      <c r="S60" s="114">
        <f t="shared" si="6"/>
        <v>0</v>
      </c>
      <c r="T60" s="114">
        <f t="shared" si="7"/>
        <v>0</v>
      </c>
      <c r="U60" s="114">
        <f t="shared" si="10"/>
        <v>15</v>
      </c>
      <c r="V60" s="114">
        <f t="shared" si="8"/>
        <v>0</v>
      </c>
    </row>
    <row r="61" spans="1:22" ht="60">
      <c r="A61" s="10" t="str">
        <f>Questions!$A61</f>
        <v>CONS-07</v>
      </c>
      <c r="B61" s="10" t="str">
        <f t="shared" si="0"/>
        <v>CONS</v>
      </c>
      <c r="C61" s="10" t="str">
        <f>VLOOKUP($A61,Questions!$A$3:$L$333,2,0)&amp;""</f>
        <v>Will the consultant require an account within the institution's domain (@*.edu)?</v>
      </c>
      <c r="D61" s="10" t="str">
        <f>VLOOKUP($A61,Questions!$A$3:$L$333,11,0)&amp;""</f>
        <v/>
      </c>
      <c r="E61" s="10" t="str">
        <f>VLOOKUP($A61,Questions!$A$3:$L$333,12,0)&amp;""</f>
        <v>Case-Specific</v>
      </c>
      <c r="F61" s="10" t="str">
        <f>VLOOKUP($A61,'Institution Evaluation'!$A$56:$K$346,3,0)&amp;""</f>
        <v/>
      </c>
      <c r="G61" s="10" t="str">
        <f>VLOOKUP($A61,'Institution Evaluation'!$A$56:$K$346,7,0)&amp;""</f>
        <v>No</v>
      </c>
      <c r="H61" s="10" t="str">
        <f>VLOOKUP($A61,'Institution Evaluation'!$A$56:$K$346,8,0)&amp;""</f>
        <v/>
      </c>
      <c r="I61" s="10" t="str">
        <f>VLOOKUP($A61,'Institution Evaluation'!$A$56:$K$346,9,0)&amp;""</f>
        <v>Standard Importance</v>
      </c>
      <c r="J61" s="10" t="str">
        <f>VLOOKUP($A61,'Institution Evaluation'!$A$56:$K$346,10,0)&amp;""</f>
        <v/>
      </c>
      <c r="K61" s="10">
        <f t="shared" si="1"/>
        <v>10</v>
      </c>
      <c r="L61" s="114">
        <f>IF($E61="Not Scored", "N/A",IF(AND($D61='Auto Responses'!$J$27,$H61=""),"N/A",IF(AND($D61='Auto Responses'!$J$27,$H61='Auto Responses'!$J$7),1,IF(AND($D61='Auto Responses'!$J$27,$H61='Auto Responses'!$J$8),0,IF(OR($F61=$G61,$H61='Auto Responses'!$J$7),1,0)))))</f>
        <v>0</v>
      </c>
      <c r="M61" s="10" t="str">
        <f>VLOOKUP($A61,'Institution Evaluation'!$A$56:$K$346,10,0)&amp;""</f>
        <v/>
      </c>
      <c r="N61" s="10">
        <f t="shared" si="2"/>
        <v>0</v>
      </c>
      <c r="O61" s="114" t="str">
        <f t="shared" si="12"/>
        <v>N/A</v>
      </c>
      <c r="P61" s="114" t="str">
        <f t="shared" si="4"/>
        <v>N/A</v>
      </c>
      <c r="Q61" s="114">
        <f t="shared" si="5"/>
        <v>0</v>
      </c>
      <c r="R61" s="114">
        <f t="shared" si="9"/>
        <v>0</v>
      </c>
      <c r="S61" s="114">
        <f t="shared" si="6"/>
        <v>0</v>
      </c>
      <c r="T61" s="114">
        <f t="shared" si="7"/>
        <v>0</v>
      </c>
      <c r="U61" s="114">
        <f t="shared" si="10"/>
        <v>15</v>
      </c>
      <c r="V61" s="114">
        <f t="shared" si="8"/>
        <v>0</v>
      </c>
    </row>
    <row r="62" spans="1:22" ht="60">
      <c r="A62" s="10" t="str">
        <f>Questions!$A62</f>
        <v>CONS-08</v>
      </c>
      <c r="B62" s="10" t="str">
        <f t="shared" si="0"/>
        <v>CONS</v>
      </c>
      <c r="C62" s="10" t="str">
        <f>VLOOKUP($A62,Questions!$A$3:$L$333,2,0)&amp;""</f>
        <v>Will any data be transferred to the consultant's possession?</v>
      </c>
      <c r="D62" s="10" t="str">
        <f>VLOOKUP($A62,Questions!$A$3:$L$333,11,0)&amp;""</f>
        <v/>
      </c>
      <c r="E62" s="10" t="str">
        <f>VLOOKUP($A62,Questions!$A$3:$L$333,12,0)&amp;""</f>
        <v>Case-Specific</v>
      </c>
      <c r="F62" s="10" t="str">
        <f>VLOOKUP($A62,'Institution Evaluation'!$A$56:$K$346,3,0)&amp;""</f>
        <v/>
      </c>
      <c r="G62" s="10" t="str">
        <f>VLOOKUP($A62,'Institution Evaluation'!$A$56:$K$346,7,0)&amp;""</f>
        <v>No</v>
      </c>
      <c r="H62" s="10" t="str">
        <f>VLOOKUP($A62,'Institution Evaluation'!$A$56:$K$346,8,0)&amp;""</f>
        <v/>
      </c>
      <c r="I62" s="10" t="str">
        <f>VLOOKUP($A62,'Institution Evaluation'!$A$56:$K$346,9,0)&amp;""</f>
        <v>Standard Importance</v>
      </c>
      <c r="J62" s="10" t="str">
        <f>VLOOKUP($A62,'Institution Evaluation'!$A$56:$K$346,10,0)&amp;""</f>
        <v/>
      </c>
      <c r="K62" s="10">
        <f t="shared" si="1"/>
        <v>10</v>
      </c>
      <c r="L62" s="114">
        <f>IF($E62="Not Scored", "N/A",IF(AND($D62='Auto Responses'!$J$27,$H62=""),"N/A",IF(AND($D62='Auto Responses'!$J$27,$H62='Auto Responses'!$J$7),1,IF(AND($D62='Auto Responses'!$J$27,$H62='Auto Responses'!$J$8),0,IF(OR($F62=$G62,$H62='Auto Responses'!$J$7),1,0)))))</f>
        <v>0</v>
      </c>
      <c r="M62" s="10" t="str">
        <f>VLOOKUP($A62,'Institution Evaluation'!$A$56:$K$346,10,0)&amp;""</f>
        <v/>
      </c>
      <c r="N62" s="10">
        <f t="shared" si="2"/>
        <v>0</v>
      </c>
      <c r="O62" s="114" t="str">
        <f t="shared" si="12"/>
        <v>N/A</v>
      </c>
      <c r="P62" s="114" t="str">
        <f t="shared" si="4"/>
        <v>N/A</v>
      </c>
      <c r="Q62" s="114">
        <f t="shared" si="5"/>
        <v>0</v>
      </c>
      <c r="R62" s="114">
        <f t="shared" si="9"/>
        <v>0</v>
      </c>
      <c r="S62" s="114">
        <f t="shared" si="6"/>
        <v>0</v>
      </c>
      <c r="T62" s="114">
        <f t="shared" si="7"/>
        <v>0</v>
      </c>
      <c r="U62" s="114">
        <f t="shared" si="10"/>
        <v>15</v>
      </c>
      <c r="V62" s="114">
        <f t="shared" si="8"/>
        <v>0</v>
      </c>
    </row>
    <row r="63" spans="1:22" ht="60">
      <c r="A63" s="10" t="str">
        <f>Questions!$A63</f>
        <v>CONS-09</v>
      </c>
      <c r="B63" s="10" t="str">
        <f t="shared" si="0"/>
        <v>CONS</v>
      </c>
      <c r="C63" s="10" t="str">
        <f>VLOOKUP($A63,Questions!$A$3:$L$333,2,0)&amp;""</f>
        <v>Will the consultant need remote access to the institution's network or systems?</v>
      </c>
      <c r="D63" s="10" t="str">
        <f>VLOOKUP($A63,Questions!$A$3:$L$333,11,0)&amp;""</f>
        <v/>
      </c>
      <c r="E63" s="10" t="str">
        <f>VLOOKUP($A63,Questions!$A$3:$L$333,12,0)&amp;""</f>
        <v>Case-Specific</v>
      </c>
      <c r="F63" s="10" t="str">
        <f>VLOOKUP($A63,'Institution Evaluation'!$A$56:$K$346,3,0)&amp;""</f>
        <v/>
      </c>
      <c r="G63" s="10" t="str">
        <f>VLOOKUP($A63,'Institution Evaluation'!$A$56:$K$346,7,0)&amp;""</f>
        <v>No</v>
      </c>
      <c r="H63" s="10" t="str">
        <f>VLOOKUP($A63,'Institution Evaluation'!$A$56:$K$346,8,0)&amp;""</f>
        <v/>
      </c>
      <c r="I63" s="10" t="str">
        <f>VLOOKUP($A63,'Institution Evaluation'!$A$56:$K$346,9,0)&amp;""</f>
        <v>Standard Importance</v>
      </c>
      <c r="J63" s="10" t="str">
        <f>VLOOKUP($A63,'Institution Evaluation'!$A$56:$K$346,10,0)&amp;""</f>
        <v/>
      </c>
      <c r="K63" s="10">
        <f t="shared" si="1"/>
        <v>10</v>
      </c>
      <c r="L63" s="114">
        <f>IF($E63="Not Scored", "N/A",IF(AND($D63='Auto Responses'!$J$27,$H63=""),"N/A",IF(AND($D63='Auto Responses'!$J$27,$H63='Auto Responses'!$J$7),1,IF(AND($D63='Auto Responses'!$J$27,$H63='Auto Responses'!$J$8),0,IF(OR($F63=$G63,$H63='Auto Responses'!$J$7),1,0)))))</f>
        <v>0</v>
      </c>
      <c r="M63" s="10" t="str">
        <f>VLOOKUP($A63,'Institution Evaluation'!$A$56:$K$346,10,0)&amp;""</f>
        <v/>
      </c>
      <c r="N63" s="10">
        <f t="shared" si="2"/>
        <v>0</v>
      </c>
      <c r="O63" s="114" t="str">
        <f t="shared" si="12"/>
        <v>N/A</v>
      </c>
      <c r="P63" s="114" t="str">
        <f t="shared" si="4"/>
        <v>N/A</v>
      </c>
      <c r="Q63" s="114">
        <f t="shared" si="5"/>
        <v>0</v>
      </c>
      <c r="R63" s="114">
        <f t="shared" si="9"/>
        <v>0</v>
      </c>
      <c r="S63" s="114">
        <f t="shared" si="6"/>
        <v>0</v>
      </c>
      <c r="T63" s="114">
        <f t="shared" si="7"/>
        <v>0</v>
      </c>
      <c r="U63" s="114">
        <f t="shared" si="10"/>
        <v>15</v>
      </c>
      <c r="V63" s="114">
        <f t="shared" si="8"/>
        <v>0</v>
      </c>
    </row>
    <row r="64" spans="1:22" ht="60">
      <c r="A64" s="10" t="str">
        <f>Questions!$A64</f>
        <v>APPL-01</v>
      </c>
      <c r="B64" s="10" t="str">
        <f t="shared" si="0"/>
        <v>APPL</v>
      </c>
      <c r="C64" s="10" t="str">
        <f>VLOOKUP($A64,Questions!$A$3:$L$333,2,0)&amp;""</f>
        <v>Are access controls for institutional accounts based on structured rules, such as role-based access control (RBAC), attribute-based access control (ABAC), or policy-based access control (PBAC)?*</v>
      </c>
      <c r="D64" s="10" t="str">
        <f>VLOOKUP($A64,Questions!$A$3:$L$333,11,0)&amp;""</f>
        <v/>
      </c>
      <c r="E64" s="10" t="str">
        <f>VLOOKUP($A64,Questions!$A$3:$L$333,12,0)&amp;""</f>
        <v>Infrastructure</v>
      </c>
      <c r="F64" s="10" t="str">
        <f>VLOOKUP($A64,'Institution Evaluation'!$A$56:$K$346,3,0)&amp;""</f>
        <v>yes</v>
      </c>
      <c r="G64" s="10" t="str">
        <f>VLOOKUP($A64,'Institution Evaluation'!$A$56:$K$346,7,0)&amp;""</f>
        <v>Yes</v>
      </c>
      <c r="H64" s="10" t="str">
        <f>VLOOKUP($A64,'Institution Evaluation'!$A$56:$K$346,8,0)&amp;""</f>
        <v/>
      </c>
      <c r="I64" s="10" t="str">
        <f>VLOOKUP($A64,'Institution Evaluation'!$A$56:$K$346,9,0)&amp;""</f>
        <v>Critical Importance</v>
      </c>
      <c r="J64" s="10" t="str">
        <f>VLOOKUP($A64,'Institution Evaluation'!$A$56:$K$346,10,0)&amp;""</f>
        <v/>
      </c>
      <c r="K64" s="10">
        <f t="shared" si="1"/>
        <v>20</v>
      </c>
      <c r="L64" s="114">
        <f>IF($E64="Not Scored", "N/A",IF(AND($D64='Auto Responses'!$J$27,$H64=""),"N/A",IF(AND($D64='Auto Responses'!$J$27,$H64='Auto Responses'!$J$7),1,IF(AND($D64='Auto Responses'!$J$27,$H64='Auto Responses'!$J$8),0,IF(OR($F64=$G64,$H64='Auto Responses'!$J$7),1,0)))))</f>
        <v>1</v>
      </c>
      <c r="M64" s="10" t="str">
        <f>VLOOKUP($A64,'Institution Evaluation'!$A$56:$K$346,10,0)&amp;""</f>
        <v/>
      </c>
      <c r="N64" s="10">
        <f t="shared" si="2"/>
        <v>1</v>
      </c>
      <c r="O64" s="114">
        <f>IF(OR($F$17="No",$E64="Not Scored"),"N/A",IF($J64="",$K64,IF($J64="Minor Importance",5,IF($J64="Standard Importance",10,IF($J64="Critical Importance",20,0)))))</f>
        <v>20</v>
      </c>
      <c r="P64" s="114">
        <f t="shared" si="4"/>
        <v>20</v>
      </c>
      <c r="Q64" s="114">
        <f t="shared" si="5"/>
        <v>0</v>
      </c>
      <c r="R64" s="114">
        <f t="shared" si="9"/>
        <v>0</v>
      </c>
      <c r="S64" s="114">
        <f t="shared" si="6"/>
        <v>0</v>
      </c>
      <c r="T64" s="114">
        <f t="shared" si="7"/>
        <v>1</v>
      </c>
      <c r="U64" s="114">
        <f t="shared" si="10"/>
        <v>16</v>
      </c>
      <c r="V64" s="114">
        <f t="shared" si="8"/>
        <v>16</v>
      </c>
    </row>
    <row r="65" spans="1:22" ht="60">
      <c r="A65" s="10" t="str">
        <f>Questions!$A65</f>
        <v>APPL-02</v>
      </c>
      <c r="B65" s="10" t="str">
        <f t="shared" si="0"/>
        <v>APPL</v>
      </c>
      <c r="C65" s="10" t="str">
        <f>VLOOKUP($A65,Questions!$A$3:$L$333,2,0)&amp;""</f>
        <v>Are you using a web application firewall (WAF)?*</v>
      </c>
      <c r="D65" s="10" t="str">
        <f>VLOOKUP($A65,Questions!$A$3:$L$333,11,0)&amp;""</f>
        <v/>
      </c>
      <c r="E65" s="10" t="str">
        <f>VLOOKUP($A65,Questions!$A$3:$L$333,12,0)&amp;""</f>
        <v>Infrastructure</v>
      </c>
      <c r="F65" s="10" t="str">
        <f>VLOOKUP($A65,'Institution Evaluation'!$A$56:$K$346,3,0)&amp;""</f>
        <v>yes</v>
      </c>
      <c r="G65" s="10" t="str">
        <f>VLOOKUP($A65,'Institution Evaluation'!$A$56:$K$346,7,0)&amp;""</f>
        <v>Yes</v>
      </c>
      <c r="H65" s="10" t="str">
        <f>VLOOKUP($A65,'Institution Evaluation'!$A$56:$K$346,8,0)&amp;""</f>
        <v/>
      </c>
      <c r="I65" s="10" t="str">
        <f>VLOOKUP($A65,'Institution Evaluation'!$A$56:$K$346,9,0)&amp;""</f>
        <v>Critical Importance</v>
      </c>
      <c r="J65" s="10" t="str">
        <f>VLOOKUP($A65,'Institution Evaluation'!$A$56:$K$346,10,0)&amp;""</f>
        <v/>
      </c>
      <c r="K65" s="10">
        <f t="shared" si="1"/>
        <v>20</v>
      </c>
      <c r="L65" s="114">
        <f>IF($E65="Not Scored", "N/A",IF(AND($D65='Auto Responses'!$J$27,$H65=""),"N/A",IF(AND($D65='Auto Responses'!$J$27,$H65='Auto Responses'!$J$7),1,IF(AND($D65='Auto Responses'!$J$27,$H65='Auto Responses'!$J$8),0,IF(OR($F65=$G65,$H65='Auto Responses'!$J$7),1,0)))))</f>
        <v>1</v>
      </c>
      <c r="M65" s="10" t="str">
        <f>VLOOKUP($A65,'Institution Evaluation'!$A$56:$K$346,10,0)&amp;""</f>
        <v/>
      </c>
      <c r="N65" s="10">
        <f t="shared" si="2"/>
        <v>1</v>
      </c>
      <c r="O65" s="114">
        <f t="shared" ref="O65:O77" si="13">IF(OR($F$17="No",$E65="Not Scored"),"N/A",IF($J65="",$K65,IF($J65="Minor Importance",5,IF($J65="Standard Importance",10,IF($J65="Critical Importance",20,0)))))</f>
        <v>20</v>
      </c>
      <c r="P65" s="114">
        <f t="shared" si="4"/>
        <v>20</v>
      </c>
      <c r="Q65" s="114">
        <f t="shared" si="5"/>
        <v>0</v>
      </c>
      <c r="R65" s="114">
        <f t="shared" si="9"/>
        <v>0</v>
      </c>
      <c r="S65" s="114">
        <f t="shared" si="6"/>
        <v>0</v>
      </c>
      <c r="T65" s="114">
        <f t="shared" si="7"/>
        <v>1</v>
      </c>
      <c r="U65" s="114">
        <f t="shared" si="10"/>
        <v>17</v>
      </c>
      <c r="V65" s="114">
        <f t="shared" si="8"/>
        <v>17</v>
      </c>
    </row>
    <row r="66" spans="1:22" ht="60">
      <c r="A66" s="10" t="str">
        <f>Questions!$A66</f>
        <v>APPL-03</v>
      </c>
      <c r="B66" s="10" t="str">
        <f t="shared" si="0"/>
        <v>APPL</v>
      </c>
      <c r="C66" s="10" t="str">
        <f>VLOOKUP($A66,Questions!$A$3:$L$333,2,0)&amp;""</f>
        <v>Are only currently supported operating system(s), software, and libraries leveraged by the system(s)/application(s) that will have access to institution's data?*</v>
      </c>
      <c r="D66" s="10" t="str">
        <f>VLOOKUP($A66,Questions!$A$3:$L$333,11,0)&amp;""</f>
        <v/>
      </c>
      <c r="E66" s="10" t="str">
        <f>VLOOKUP($A66,Questions!$A$3:$L$333,12,0)&amp;""</f>
        <v>Infrastructure</v>
      </c>
      <c r="F66" s="10" t="str">
        <f>VLOOKUP($A66,'Institution Evaluation'!$A$56:$K$346,3,0)&amp;""</f>
        <v>yes</v>
      </c>
      <c r="G66" s="10" t="str">
        <f>VLOOKUP($A66,'Institution Evaluation'!$A$56:$K$346,7,0)&amp;""</f>
        <v>Yes</v>
      </c>
      <c r="H66" s="10" t="str">
        <f>VLOOKUP($A66,'Institution Evaluation'!$A$56:$K$346,8,0)&amp;""</f>
        <v/>
      </c>
      <c r="I66" s="10" t="str">
        <f>VLOOKUP($A66,'Institution Evaluation'!$A$56:$K$346,9,0)&amp;""</f>
        <v>Critical Importance</v>
      </c>
      <c r="J66" s="10" t="str">
        <f>VLOOKUP($A66,'Institution Evaluation'!$A$56:$K$346,10,0)&amp;""</f>
        <v/>
      </c>
      <c r="K66" s="10">
        <f t="shared" si="1"/>
        <v>20</v>
      </c>
      <c r="L66" s="114">
        <f>IF($E66="Not Scored", "N/A",IF(AND($D66='Auto Responses'!$J$27,$H66=""),"N/A",IF(AND($D66='Auto Responses'!$J$27,$H66='Auto Responses'!$J$7),1,IF(AND($D66='Auto Responses'!$J$27,$H66='Auto Responses'!$J$8),0,IF(OR($F66=$G66,$H66='Auto Responses'!$J$7),1,0)))))</f>
        <v>1</v>
      </c>
      <c r="M66" s="10" t="str">
        <f>VLOOKUP($A66,'Institution Evaluation'!$A$56:$K$346,10,0)&amp;""</f>
        <v/>
      </c>
      <c r="N66" s="10">
        <f t="shared" si="2"/>
        <v>1</v>
      </c>
      <c r="O66" s="114">
        <f t="shared" si="13"/>
        <v>20</v>
      </c>
      <c r="P66" s="114">
        <f t="shared" si="4"/>
        <v>20</v>
      </c>
      <c r="Q66" s="114">
        <f t="shared" si="5"/>
        <v>0</v>
      </c>
      <c r="R66" s="114">
        <f t="shared" si="9"/>
        <v>0</v>
      </c>
      <c r="S66" s="114">
        <f t="shared" si="6"/>
        <v>0</v>
      </c>
      <c r="T66" s="114">
        <f t="shared" si="7"/>
        <v>1</v>
      </c>
      <c r="U66" s="114">
        <f t="shared" si="10"/>
        <v>18</v>
      </c>
      <c r="V66" s="114">
        <f t="shared" si="8"/>
        <v>18</v>
      </c>
    </row>
    <row r="67" spans="1:22" ht="60">
      <c r="A67" s="10" t="str">
        <f>Questions!$A67</f>
        <v>APPL-04</v>
      </c>
      <c r="B67" s="10" t="str">
        <f t="shared" si="0"/>
        <v>APPL</v>
      </c>
      <c r="C67" s="10" t="str">
        <f>VLOOKUP($A67,Questions!$A$3:$L$333,2,0)&amp;""</f>
        <v>Does your application require access to location or GPS data?</v>
      </c>
      <c r="D67" s="10" t="str">
        <f>VLOOKUP($A67,Questions!$A$3:$L$333,11,0)&amp;""</f>
        <v/>
      </c>
      <c r="E67" s="10" t="str">
        <f>VLOOKUP($A67,Questions!$A$3:$L$333,12,0)&amp;""</f>
        <v>Infrastructure</v>
      </c>
      <c r="F67" s="10" t="str">
        <f>VLOOKUP($A67,'Institution Evaluation'!$A$56:$K$346,3,0)&amp;""</f>
        <v>no</v>
      </c>
      <c r="G67" s="10" t="str">
        <f>VLOOKUP($A67,'Institution Evaluation'!$A$56:$K$346,7,0)&amp;""</f>
        <v>No</v>
      </c>
      <c r="H67" s="10" t="str">
        <f>VLOOKUP($A67,'Institution Evaluation'!$A$56:$K$346,8,0)&amp;""</f>
        <v/>
      </c>
      <c r="I67" s="10" t="str">
        <f>VLOOKUP($A67,'Institution Evaluation'!$A$56:$K$346,9,0)&amp;""</f>
        <v>Critical Importance</v>
      </c>
      <c r="J67" s="10" t="str">
        <f>VLOOKUP($A67,'Institution Evaluation'!$A$56:$K$346,10,0)&amp;""</f>
        <v/>
      </c>
      <c r="K67" s="10">
        <f t="shared" si="1"/>
        <v>20</v>
      </c>
      <c r="L67" s="114">
        <f>IF($E67="Not Scored", "N/A",IF(AND($D67='Auto Responses'!$J$27,$H67=""),"N/A",IF(AND($D67='Auto Responses'!$J$27,$H67='Auto Responses'!$J$7),1,IF(AND($D67='Auto Responses'!$J$27,$H67='Auto Responses'!$J$8),0,IF(OR($F67=$G67,$H67='Auto Responses'!$J$7),1,0)))))</f>
        <v>1</v>
      </c>
      <c r="M67" s="10" t="str">
        <f>VLOOKUP($A67,'Institution Evaluation'!$A$56:$K$346,10,0)&amp;""</f>
        <v/>
      </c>
      <c r="N67" s="10">
        <f t="shared" si="2"/>
        <v>1</v>
      </c>
      <c r="O67" s="114">
        <f t="shared" si="13"/>
        <v>20</v>
      </c>
      <c r="P67" s="114">
        <f t="shared" si="4"/>
        <v>20</v>
      </c>
      <c r="Q67" s="114">
        <f t="shared" ref="Q67:Q129" si="14">IF(M67="TRUE",1,0)</f>
        <v>0</v>
      </c>
      <c r="R67" s="114">
        <f t="shared" si="9"/>
        <v>0</v>
      </c>
      <c r="S67" s="114">
        <f t="shared" ref="S67:S129" si="15">IF(Q67=0,0,R67)</f>
        <v>0</v>
      </c>
      <c r="T67" s="114">
        <f t="shared" ref="T67:T129" si="16">IF(N67=1,1,0)</f>
        <v>1</v>
      </c>
      <c r="U67" s="114">
        <f t="shared" si="10"/>
        <v>19</v>
      </c>
      <c r="V67" s="114">
        <f t="shared" ref="V67:V129" si="17">IF(T67=0,0,U67)</f>
        <v>19</v>
      </c>
    </row>
    <row r="68" spans="1:22" ht="60">
      <c r="A68" s="10" t="str">
        <f>Questions!$A68</f>
        <v>APPL-05</v>
      </c>
      <c r="B68" s="10" t="str">
        <f t="shared" ref="B68:B130" si="18">LEFT(A68,4)</f>
        <v>APPL</v>
      </c>
      <c r="C68" s="10" t="str">
        <f>VLOOKUP($A68,Questions!$A$3:$L$333,2,0)&amp;""</f>
        <v>Does your application provide separation of duties between security administration, system administration, and standard user functions?*</v>
      </c>
      <c r="D68" s="10" t="str">
        <f>VLOOKUP($A68,Questions!$A$3:$L$333,11,0)&amp;""</f>
        <v/>
      </c>
      <c r="E68" s="10" t="str">
        <f>VLOOKUP($A68,Questions!$A$3:$L$333,12,0)&amp;""</f>
        <v>Infrastructure</v>
      </c>
      <c r="F68" s="10" t="str">
        <f>VLOOKUP($A68,'Institution Evaluation'!$A$56:$K$346,3,0)&amp;""</f>
        <v>yes</v>
      </c>
      <c r="G68" s="10" t="str">
        <f>VLOOKUP($A68,'Institution Evaluation'!$A$56:$K$346,7,0)&amp;""</f>
        <v>Yes</v>
      </c>
      <c r="H68" s="10" t="str">
        <f>VLOOKUP($A68,'Institution Evaluation'!$A$56:$K$346,8,0)&amp;""</f>
        <v/>
      </c>
      <c r="I68" s="10" t="str">
        <f>VLOOKUP($A68,'Institution Evaluation'!$A$56:$K$346,9,0)&amp;""</f>
        <v>Critical Importance</v>
      </c>
      <c r="J68" s="10" t="str">
        <f>VLOOKUP($A68,'Institution Evaluation'!$A$56:$K$346,10,0)&amp;""</f>
        <v/>
      </c>
      <c r="K68" s="10">
        <f t="shared" ref="K68:K130" si="19">IF($I68="Critical Importance",20,IF($I68="Minor Importance",5,10))</f>
        <v>20</v>
      </c>
      <c r="L68" s="114">
        <f>IF($E68="Not Scored", "N/A",IF(AND($D68='Auto Responses'!$J$27,$H68=""),"N/A",IF(AND($D68='Auto Responses'!$J$27,$H68='Auto Responses'!$J$7),1,IF(AND($D68='Auto Responses'!$J$27,$H68='Auto Responses'!$J$8),0,IF(OR($F68=$G68,$H68='Auto Responses'!$J$7),1,0)))))</f>
        <v>1</v>
      </c>
      <c r="M68" s="10" t="str">
        <f>VLOOKUP($A68,'Institution Evaluation'!$A$56:$K$346,10,0)&amp;""</f>
        <v/>
      </c>
      <c r="N68" s="10">
        <f t="shared" ref="N68:N130" si="20">IF($J68="Critical Importance",1,IF(AND($J68="",$I68="Critical Importance"),1,0))</f>
        <v>1</v>
      </c>
      <c r="O68" s="114">
        <f t="shared" si="13"/>
        <v>20</v>
      </c>
      <c r="P68" s="114">
        <f t="shared" ref="P68:P98" si="21">IF(OR($O68="N/A",$L68="N/A"),"N/A",$O68*$L68)</f>
        <v>20</v>
      </c>
      <c r="Q68" s="114">
        <f t="shared" si="14"/>
        <v>0</v>
      </c>
      <c r="R68" s="114">
        <f t="shared" si="9"/>
        <v>0</v>
      </c>
      <c r="S68" s="114">
        <f t="shared" si="15"/>
        <v>0</v>
      </c>
      <c r="T68" s="114">
        <f t="shared" si="16"/>
        <v>1</v>
      </c>
      <c r="U68" s="114">
        <f t="shared" si="10"/>
        <v>20</v>
      </c>
      <c r="V68" s="114">
        <f t="shared" si="17"/>
        <v>20</v>
      </c>
    </row>
    <row r="69" spans="1:22" ht="60">
      <c r="A69" s="10" t="str">
        <f>Questions!$A69</f>
        <v>APPL-06</v>
      </c>
      <c r="B69" s="10" t="str">
        <f t="shared" si="18"/>
        <v>APPL</v>
      </c>
      <c r="C69" s="10" t="str">
        <f>VLOOKUP($A69,Questions!$A$3:$L$333,2,0)&amp;""</f>
        <v>Do you subject your code to static code analysis and/or static application security testing prior to release?*</v>
      </c>
      <c r="D69" s="10" t="str">
        <f>VLOOKUP($A69,Questions!$A$3:$L$333,11,0)&amp;""</f>
        <v/>
      </c>
      <c r="E69" s="10" t="str">
        <f>VLOOKUP($A69,Questions!$A$3:$L$333,12,0)&amp;""</f>
        <v>Infrastructure</v>
      </c>
      <c r="F69" s="10" t="str">
        <f>VLOOKUP($A69,'Institution Evaluation'!$A$56:$K$346,3,0)&amp;""</f>
        <v>yes</v>
      </c>
      <c r="G69" s="10" t="str">
        <f>VLOOKUP($A69,'Institution Evaluation'!$A$56:$K$346,7,0)&amp;""</f>
        <v>Yes</v>
      </c>
      <c r="H69" s="10" t="str">
        <f>VLOOKUP($A69,'Institution Evaluation'!$A$56:$K$346,8,0)&amp;""</f>
        <v/>
      </c>
      <c r="I69" s="10" t="str">
        <f>VLOOKUP($A69,'Institution Evaluation'!$A$56:$K$346,9,0)&amp;""</f>
        <v>Critical Importance</v>
      </c>
      <c r="J69" s="10" t="str">
        <f>VLOOKUP($A69,'Institution Evaluation'!$A$56:$K$346,10,0)&amp;""</f>
        <v/>
      </c>
      <c r="K69" s="10">
        <f t="shared" si="19"/>
        <v>20</v>
      </c>
      <c r="L69" s="114">
        <f>IF($E69="Not Scored", "N/A",IF(AND($D69='Auto Responses'!$J$27,$H69=""),"N/A",IF(AND($D69='Auto Responses'!$J$27,$H69='Auto Responses'!$J$7),1,IF(AND($D69='Auto Responses'!$J$27,$H69='Auto Responses'!$J$8),0,IF(OR($F69=$G69,$H69='Auto Responses'!$J$7),1,0)))))</f>
        <v>1</v>
      </c>
      <c r="M69" s="10" t="str">
        <f>VLOOKUP($A69,'Institution Evaluation'!$A$56:$K$346,10,0)&amp;""</f>
        <v/>
      </c>
      <c r="N69" s="10">
        <f t="shared" si="20"/>
        <v>1</v>
      </c>
      <c r="O69" s="114">
        <f t="shared" si="13"/>
        <v>20</v>
      </c>
      <c r="P69" s="114">
        <f t="shared" si="21"/>
        <v>20</v>
      </c>
      <c r="Q69" s="114">
        <f t="shared" si="14"/>
        <v>0</v>
      </c>
      <c r="R69" s="114">
        <f t="shared" ref="R69:R132" si="22">R68+Q69</f>
        <v>0</v>
      </c>
      <c r="S69" s="114">
        <f t="shared" si="15"/>
        <v>0</v>
      </c>
      <c r="T69" s="114">
        <f t="shared" si="16"/>
        <v>1</v>
      </c>
      <c r="U69" s="114">
        <f t="shared" ref="U69:U132" si="23">U68+T69</f>
        <v>21</v>
      </c>
      <c r="V69" s="114">
        <f t="shared" si="17"/>
        <v>21</v>
      </c>
    </row>
    <row r="70" spans="1:22" ht="60">
      <c r="A70" s="10" t="str">
        <f>Questions!$A70</f>
        <v>APPL-07</v>
      </c>
      <c r="B70" s="10" t="str">
        <f t="shared" si="18"/>
        <v>APPL</v>
      </c>
      <c r="C70" s="10" t="str">
        <f>VLOOKUP($A70,Questions!$A$3:$L$333,2,0)&amp;""</f>
        <v>Do you have software testing processes (dynamic or static) that are established and followed?*</v>
      </c>
      <c r="D70" s="10" t="str">
        <f>VLOOKUP($A70,Questions!$A$3:$L$333,11,0)&amp;""</f>
        <v/>
      </c>
      <c r="E70" s="10" t="str">
        <f>VLOOKUP($A70,Questions!$A$3:$L$333,12,0)&amp;""</f>
        <v>Infrastructure</v>
      </c>
      <c r="F70" s="10" t="str">
        <f>VLOOKUP($A70,'Institution Evaluation'!$A$56:$K$346,3,0)&amp;""</f>
        <v>yes</v>
      </c>
      <c r="G70" s="10" t="str">
        <f>VLOOKUP($A70,'Institution Evaluation'!$A$56:$K$346,7,0)&amp;""</f>
        <v>Yes</v>
      </c>
      <c r="H70" s="10" t="str">
        <f>VLOOKUP($A70,'Institution Evaluation'!$A$56:$K$346,8,0)&amp;""</f>
        <v/>
      </c>
      <c r="I70" s="10" t="str">
        <f>VLOOKUP($A70,'Institution Evaluation'!$A$56:$K$346,9,0)&amp;""</f>
        <v>Critical Importance</v>
      </c>
      <c r="J70" s="10" t="str">
        <f>VLOOKUP($A70,'Institution Evaluation'!$A$56:$K$346,10,0)&amp;""</f>
        <v/>
      </c>
      <c r="K70" s="10">
        <f t="shared" si="19"/>
        <v>20</v>
      </c>
      <c r="L70" s="114">
        <f>IF($E70="Not Scored", "N/A",IF(AND($D70='Auto Responses'!$J$27,$H70=""),"N/A",IF(AND($D70='Auto Responses'!$J$27,$H70='Auto Responses'!$J$7),1,IF(AND($D70='Auto Responses'!$J$27,$H70='Auto Responses'!$J$8),0,IF(OR($F70=$G70,$H70='Auto Responses'!$J$7),1,0)))))</f>
        <v>1</v>
      </c>
      <c r="M70" s="10" t="str">
        <f>VLOOKUP($A70,'Institution Evaluation'!$A$56:$K$346,10,0)&amp;""</f>
        <v/>
      </c>
      <c r="N70" s="10">
        <f t="shared" si="20"/>
        <v>1</v>
      </c>
      <c r="O70" s="114">
        <f t="shared" si="13"/>
        <v>20</v>
      </c>
      <c r="P70" s="114">
        <f t="shared" si="21"/>
        <v>20</v>
      </c>
      <c r="Q70" s="114">
        <f t="shared" si="14"/>
        <v>0</v>
      </c>
      <c r="R70" s="114">
        <f t="shared" si="22"/>
        <v>0</v>
      </c>
      <c r="S70" s="114">
        <f t="shared" si="15"/>
        <v>0</v>
      </c>
      <c r="T70" s="114">
        <f t="shared" si="16"/>
        <v>1</v>
      </c>
      <c r="U70" s="114">
        <f t="shared" si="23"/>
        <v>22</v>
      </c>
      <c r="V70" s="114">
        <f t="shared" si="17"/>
        <v>22</v>
      </c>
    </row>
    <row r="71" spans="1:22" ht="60">
      <c r="A71" s="10" t="str">
        <f>Questions!$A71</f>
        <v>APPL-08</v>
      </c>
      <c r="B71" s="10" t="str">
        <f t="shared" si="18"/>
        <v>APPL</v>
      </c>
      <c r="C71" s="10" t="str">
        <f>VLOOKUP($A71,Questions!$A$3:$L$333,2,0)&amp;""</f>
        <v>Are access controls for staff within your organization based on structured rules, such as RBAC, ABAC, or PBAC?</v>
      </c>
      <c r="D71" s="10" t="str">
        <f>VLOOKUP($A71,Questions!$A$3:$L$333,11,0)&amp;""</f>
        <v/>
      </c>
      <c r="E71" s="10" t="str">
        <f>VLOOKUP($A71,Questions!$A$3:$L$333,12,0)&amp;""</f>
        <v>Infrastructure</v>
      </c>
      <c r="F71" s="10" t="str">
        <f>VLOOKUP($A71,'Institution Evaluation'!$A$56:$K$346,3,0)&amp;""</f>
        <v>yes</v>
      </c>
      <c r="G71" s="10" t="str">
        <f>VLOOKUP($A71,'Institution Evaluation'!$A$56:$K$346,7,0)&amp;""</f>
        <v>Yes</v>
      </c>
      <c r="H71" s="10" t="str">
        <f>VLOOKUP($A71,'Institution Evaluation'!$A$56:$K$346,8,0)&amp;""</f>
        <v/>
      </c>
      <c r="I71" s="10" t="str">
        <f>VLOOKUP($A71,'Institution Evaluation'!$A$56:$K$346,9,0)&amp;""</f>
        <v>Standard Importance</v>
      </c>
      <c r="J71" s="10" t="str">
        <f>VLOOKUP($A71,'Institution Evaluation'!$A$56:$K$346,10,0)&amp;""</f>
        <v/>
      </c>
      <c r="K71" s="10">
        <f t="shared" si="19"/>
        <v>10</v>
      </c>
      <c r="L71" s="114">
        <f>IF($E71="Not Scored", "N/A",IF(AND($D71='Auto Responses'!$J$27,$H71=""),"N/A",IF(AND($D71='Auto Responses'!$J$27,$H71='Auto Responses'!$J$7),1,IF(AND($D71='Auto Responses'!$J$27,$H71='Auto Responses'!$J$8),0,IF(OR($F71=$G71,$H71='Auto Responses'!$J$7),1,0)))))</f>
        <v>1</v>
      </c>
      <c r="M71" s="10" t="str">
        <f>VLOOKUP($A71,'Institution Evaluation'!$A$56:$K$346,10,0)&amp;""</f>
        <v/>
      </c>
      <c r="N71" s="10">
        <f t="shared" si="20"/>
        <v>0</v>
      </c>
      <c r="O71" s="114">
        <f t="shared" si="13"/>
        <v>10</v>
      </c>
      <c r="P71" s="114">
        <f t="shared" si="21"/>
        <v>10</v>
      </c>
      <c r="Q71" s="114">
        <f t="shared" si="14"/>
        <v>0</v>
      </c>
      <c r="R71" s="114">
        <f t="shared" si="22"/>
        <v>0</v>
      </c>
      <c r="S71" s="114">
        <f t="shared" si="15"/>
        <v>0</v>
      </c>
      <c r="T71" s="114">
        <f t="shared" si="16"/>
        <v>0</v>
      </c>
      <c r="U71" s="114">
        <f t="shared" si="23"/>
        <v>22</v>
      </c>
      <c r="V71" s="114">
        <f t="shared" si="17"/>
        <v>0</v>
      </c>
    </row>
    <row r="72" spans="1:22" ht="60">
      <c r="A72" s="10" t="str">
        <f>Questions!$A72</f>
        <v>APPL-09</v>
      </c>
      <c r="B72" s="10" t="str">
        <f t="shared" si="18"/>
        <v>APPL</v>
      </c>
      <c r="C72" s="10" t="str">
        <f>VLOOKUP($A72,Questions!$A$3:$L$333,2,0)&amp;""</f>
        <v>Does the system provide data input validation and error messages?</v>
      </c>
      <c r="D72" s="10" t="str">
        <f>VLOOKUP($A72,Questions!$A$3:$L$333,11,0)&amp;""</f>
        <v/>
      </c>
      <c r="E72" s="10" t="str">
        <f>VLOOKUP($A72,Questions!$A$3:$L$333,12,0)&amp;""</f>
        <v>Infrastructure</v>
      </c>
      <c r="F72" s="10" t="str">
        <f>VLOOKUP($A72,'Institution Evaluation'!$A$56:$K$346,3,0)&amp;""</f>
        <v>yes</v>
      </c>
      <c r="G72" s="10" t="str">
        <f>VLOOKUP($A72,'Institution Evaluation'!$A$56:$K$346,7,0)&amp;""</f>
        <v>Yes</v>
      </c>
      <c r="H72" s="10" t="str">
        <f>VLOOKUP($A72,'Institution Evaluation'!$A$56:$K$346,8,0)&amp;""</f>
        <v/>
      </c>
      <c r="I72" s="10" t="str">
        <f>VLOOKUP($A72,'Institution Evaluation'!$A$56:$K$346,9,0)&amp;""</f>
        <v>Standard Importance</v>
      </c>
      <c r="J72" s="10" t="str">
        <f>VLOOKUP($A72,'Institution Evaluation'!$A$56:$K$346,10,0)&amp;""</f>
        <v/>
      </c>
      <c r="K72" s="10">
        <f t="shared" si="19"/>
        <v>10</v>
      </c>
      <c r="L72" s="114">
        <f>IF($E72="Not Scored", "N/A",IF(AND($D72='Auto Responses'!$J$27,$H72=""),"N/A",IF(AND($D72='Auto Responses'!$J$27,$H72='Auto Responses'!$J$7),1,IF(AND($D72='Auto Responses'!$J$27,$H72='Auto Responses'!$J$8),0,IF(OR($F72=$G72,$H72='Auto Responses'!$J$7),1,0)))))</f>
        <v>1</v>
      </c>
      <c r="M72" s="10" t="str">
        <f>VLOOKUP($A72,'Institution Evaluation'!$A$56:$K$346,10,0)&amp;""</f>
        <v/>
      </c>
      <c r="N72" s="10">
        <f t="shared" si="20"/>
        <v>0</v>
      </c>
      <c r="O72" s="114">
        <f t="shared" si="13"/>
        <v>10</v>
      </c>
      <c r="P72" s="114">
        <f t="shared" si="21"/>
        <v>10</v>
      </c>
      <c r="Q72" s="114">
        <f t="shared" si="14"/>
        <v>0</v>
      </c>
      <c r="R72" s="114">
        <f t="shared" si="22"/>
        <v>0</v>
      </c>
      <c r="S72" s="114">
        <f t="shared" si="15"/>
        <v>0</v>
      </c>
      <c r="T72" s="114">
        <f t="shared" si="16"/>
        <v>0</v>
      </c>
      <c r="U72" s="114">
        <f t="shared" si="23"/>
        <v>22</v>
      </c>
      <c r="V72" s="114">
        <f t="shared" si="17"/>
        <v>0</v>
      </c>
    </row>
    <row r="73" spans="1:22" ht="60">
      <c r="A73" s="10" t="str">
        <f>Questions!$A73</f>
        <v>APPL-10</v>
      </c>
      <c r="B73" s="10" t="str">
        <f t="shared" si="18"/>
        <v>APPL</v>
      </c>
      <c r="C73" s="10" t="str">
        <f>VLOOKUP($A73,Questions!$A$3:$L$333,2,0)&amp;""</f>
        <v>Do you have a process and implemented procedures for managing your software supply chain (e.g., libraries, repositories, frameworks, etc.)</v>
      </c>
      <c r="D73" s="10" t="str">
        <f>VLOOKUP($A73,Questions!$A$3:$L$333,11,0)&amp;""</f>
        <v/>
      </c>
      <c r="E73" s="10" t="str">
        <f>VLOOKUP($A73,Questions!$A$3:$L$333,12,0)&amp;""</f>
        <v>Infrastructure</v>
      </c>
      <c r="F73" s="10" t="str">
        <f>VLOOKUP($A73,'Institution Evaluation'!$A$56:$K$346,3,0)&amp;""</f>
        <v>yes</v>
      </c>
      <c r="G73" s="10" t="str">
        <f>VLOOKUP($A73,'Institution Evaluation'!$A$56:$K$346,7,0)&amp;""</f>
        <v>Yes</v>
      </c>
      <c r="H73" s="10" t="str">
        <f>VLOOKUP($A73,'Institution Evaluation'!$A$56:$K$346,8,0)&amp;""</f>
        <v/>
      </c>
      <c r="I73" s="10" t="str">
        <f>VLOOKUP($A73,'Institution Evaluation'!$A$56:$K$346,9,0)&amp;""</f>
        <v>Standard Importance</v>
      </c>
      <c r="J73" s="10" t="str">
        <f>VLOOKUP($A73,'Institution Evaluation'!$A$56:$K$346,10,0)&amp;""</f>
        <v/>
      </c>
      <c r="K73" s="10">
        <f t="shared" si="19"/>
        <v>10</v>
      </c>
      <c r="L73" s="114">
        <f>IF($E73="Not Scored", "N/A",IF(AND($D73='Auto Responses'!$J$27,$H73=""),"N/A",IF(AND($D73='Auto Responses'!$J$27,$H73='Auto Responses'!$J$7),1,IF(AND($D73='Auto Responses'!$J$27,$H73='Auto Responses'!$J$8),0,IF(OR($F73=$G73,$H73='Auto Responses'!$J$7),1,0)))))</f>
        <v>1</v>
      </c>
      <c r="M73" s="10" t="str">
        <f>VLOOKUP($A73,'Institution Evaluation'!$A$56:$K$346,10,0)&amp;""</f>
        <v/>
      </c>
      <c r="N73" s="10">
        <f t="shared" si="20"/>
        <v>0</v>
      </c>
      <c r="O73" s="114">
        <f t="shared" si="13"/>
        <v>10</v>
      </c>
      <c r="P73" s="114">
        <f t="shared" si="21"/>
        <v>10</v>
      </c>
      <c r="Q73" s="114">
        <f t="shared" si="14"/>
        <v>0</v>
      </c>
      <c r="R73" s="114">
        <f t="shared" si="22"/>
        <v>0</v>
      </c>
      <c r="S73" s="114">
        <f t="shared" si="15"/>
        <v>0</v>
      </c>
      <c r="T73" s="114">
        <f t="shared" si="16"/>
        <v>0</v>
      </c>
      <c r="U73" s="114">
        <f t="shared" si="23"/>
        <v>22</v>
      </c>
      <c r="V73" s="114">
        <f t="shared" si="17"/>
        <v>0</v>
      </c>
    </row>
    <row r="74" spans="1:22" ht="60">
      <c r="A74" s="10" t="str">
        <f>Questions!$A74</f>
        <v>APPL-11</v>
      </c>
      <c r="B74" s="10" t="str">
        <f t="shared" si="18"/>
        <v>APPL</v>
      </c>
      <c r="C74" s="10" t="str">
        <f>VLOOKUP($A74,Questions!$A$3:$L$333,2,0)&amp;""</f>
        <v>Have your developers been trained in secure coding techniques?</v>
      </c>
      <c r="D74" s="10" t="str">
        <f>VLOOKUP($A74,Questions!$A$3:$L$333,11,0)&amp;""</f>
        <v/>
      </c>
      <c r="E74" s="10" t="str">
        <f>VLOOKUP($A74,Questions!$A$3:$L$333,12,0)&amp;""</f>
        <v>Infrastructure</v>
      </c>
      <c r="F74" s="10" t="str">
        <f>VLOOKUP($A74,'Institution Evaluation'!$A$56:$K$346,3,0)&amp;""</f>
        <v>yes</v>
      </c>
      <c r="G74" s="10" t="str">
        <f>VLOOKUP($A74,'Institution Evaluation'!$A$56:$K$346,7,0)&amp;""</f>
        <v>Yes</v>
      </c>
      <c r="H74" s="10" t="str">
        <f>VLOOKUP($A74,'Institution Evaluation'!$A$56:$K$346,8,0)&amp;""</f>
        <v/>
      </c>
      <c r="I74" s="10" t="str">
        <f>VLOOKUP($A74,'Institution Evaluation'!$A$56:$K$346,9,0)&amp;""</f>
        <v>Standard Importance</v>
      </c>
      <c r="J74" s="10" t="str">
        <f>VLOOKUP($A74,'Institution Evaluation'!$A$56:$K$346,10,0)&amp;""</f>
        <v/>
      </c>
      <c r="K74" s="10">
        <f t="shared" si="19"/>
        <v>10</v>
      </c>
      <c r="L74" s="114">
        <f>IF($E74="Not Scored", "N/A",IF(AND($D74='Auto Responses'!$J$27,$H74=""),"N/A",IF(AND($D74='Auto Responses'!$J$27,$H74='Auto Responses'!$J$7),1,IF(AND($D74='Auto Responses'!$J$27,$H74='Auto Responses'!$J$8),0,IF(OR($F74=$G74,$H74='Auto Responses'!$J$7),1,0)))))</f>
        <v>1</v>
      </c>
      <c r="M74" s="10" t="str">
        <f>VLOOKUP($A74,'Institution Evaluation'!$A$56:$K$346,10,0)&amp;""</f>
        <v/>
      </c>
      <c r="N74" s="10">
        <f t="shared" si="20"/>
        <v>0</v>
      </c>
      <c r="O74" s="114">
        <f t="shared" si="13"/>
        <v>10</v>
      </c>
      <c r="P74" s="114">
        <f t="shared" si="21"/>
        <v>10</v>
      </c>
      <c r="Q74" s="114">
        <f t="shared" si="14"/>
        <v>0</v>
      </c>
      <c r="R74" s="114">
        <f t="shared" si="22"/>
        <v>0</v>
      </c>
      <c r="S74" s="114">
        <f t="shared" si="15"/>
        <v>0</v>
      </c>
      <c r="T74" s="114">
        <f t="shared" si="16"/>
        <v>0</v>
      </c>
      <c r="U74" s="114">
        <f t="shared" si="23"/>
        <v>22</v>
      </c>
      <c r="V74" s="114">
        <f t="shared" si="17"/>
        <v>0</v>
      </c>
    </row>
    <row r="75" spans="1:22" ht="60">
      <c r="A75" s="10" t="str">
        <f>Questions!$A75</f>
        <v>APPL-12</v>
      </c>
      <c r="B75" s="10" t="str">
        <f t="shared" si="18"/>
        <v>APPL</v>
      </c>
      <c r="C75" s="10" t="str">
        <f>VLOOKUP($A75,Questions!$A$3:$L$333,2,0)&amp;""</f>
        <v>Was your application developed using secure coding techniques?</v>
      </c>
      <c r="D75" s="10" t="str">
        <f>VLOOKUP($A75,Questions!$A$3:$L$333,11,0)&amp;""</f>
        <v/>
      </c>
      <c r="E75" s="10" t="str">
        <f>VLOOKUP($A75,Questions!$A$3:$L$333,12,0)&amp;""</f>
        <v>Infrastructure</v>
      </c>
      <c r="F75" s="10" t="str">
        <f>VLOOKUP($A75,'Institution Evaluation'!$A$56:$K$346,3,0)&amp;""</f>
        <v>yes</v>
      </c>
      <c r="G75" s="10" t="str">
        <f>VLOOKUP($A75,'Institution Evaluation'!$A$56:$K$346,7,0)&amp;""</f>
        <v>Yes</v>
      </c>
      <c r="H75" s="10" t="str">
        <f>VLOOKUP($A75,'Institution Evaluation'!$A$56:$K$346,8,0)&amp;""</f>
        <v/>
      </c>
      <c r="I75" s="10" t="str">
        <f>VLOOKUP($A75,'Institution Evaluation'!$A$56:$K$346,9,0)&amp;""</f>
        <v>Standard Importance</v>
      </c>
      <c r="J75" s="10" t="str">
        <f>VLOOKUP($A75,'Institution Evaluation'!$A$56:$K$346,10,0)&amp;""</f>
        <v/>
      </c>
      <c r="K75" s="10">
        <f t="shared" si="19"/>
        <v>10</v>
      </c>
      <c r="L75" s="114">
        <f>IF($E75="Not Scored", "N/A",IF(AND($D75='Auto Responses'!$J$27,$H75=""),"N/A",IF(AND($D75='Auto Responses'!$J$27,$H75='Auto Responses'!$J$7),1,IF(AND($D75='Auto Responses'!$J$27,$H75='Auto Responses'!$J$8),0,IF(OR($F75=$G75,$H75='Auto Responses'!$J$7),1,0)))))</f>
        <v>1</v>
      </c>
      <c r="M75" s="10" t="str">
        <f>VLOOKUP($A75,'Institution Evaluation'!$A$56:$K$346,10,0)&amp;""</f>
        <v/>
      </c>
      <c r="N75" s="10">
        <f t="shared" si="20"/>
        <v>0</v>
      </c>
      <c r="O75" s="114">
        <f t="shared" si="13"/>
        <v>10</v>
      </c>
      <c r="P75" s="114">
        <f t="shared" si="21"/>
        <v>10</v>
      </c>
      <c r="Q75" s="114">
        <f t="shared" si="14"/>
        <v>0</v>
      </c>
      <c r="R75" s="114">
        <f t="shared" si="22"/>
        <v>0</v>
      </c>
      <c r="S75" s="114">
        <f t="shared" si="15"/>
        <v>0</v>
      </c>
      <c r="T75" s="114">
        <f t="shared" si="16"/>
        <v>0</v>
      </c>
      <c r="U75" s="114">
        <f t="shared" si="23"/>
        <v>22</v>
      </c>
      <c r="V75" s="114">
        <f t="shared" si="17"/>
        <v>0</v>
      </c>
    </row>
    <row r="76" spans="1:22" ht="60">
      <c r="A76" s="10" t="str">
        <f>Questions!$A76</f>
        <v>APPL-13</v>
      </c>
      <c r="B76" s="10" t="str">
        <f t="shared" si="18"/>
        <v>APPL</v>
      </c>
      <c r="C76" s="10" t="str">
        <f>VLOOKUP($A76,Questions!$A$3:$L$333,2,0)&amp;""</f>
        <v>If mobile, is the application available from a trusted source (e.g., App Store, Google Play Store)?</v>
      </c>
      <c r="D76" s="10" t="str">
        <f>VLOOKUP($A76,Questions!$A$3:$L$333,11,0)&amp;""</f>
        <v/>
      </c>
      <c r="E76" s="10" t="str">
        <f>VLOOKUP($A76,Questions!$A$3:$L$333,12,0)&amp;""</f>
        <v>Infrastructure</v>
      </c>
      <c r="F76" s="10" t="str">
        <f>VLOOKUP($A76,'Institution Evaluation'!$A$56:$K$346,3,0)&amp;""</f>
        <v>N/A</v>
      </c>
      <c r="G76" s="10" t="str">
        <f>VLOOKUP($A76,'Institution Evaluation'!$A$56:$K$346,7,0)&amp;""</f>
        <v>Yes</v>
      </c>
      <c r="H76" s="10" t="str">
        <f>VLOOKUP($A76,'Institution Evaluation'!$A$56:$K$346,8,0)&amp;""</f>
        <v/>
      </c>
      <c r="I76" s="10" t="str">
        <f>VLOOKUP($A76,'Institution Evaluation'!$A$56:$K$346,9,0)&amp;""</f>
        <v>Minor Importance</v>
      </c>
      <c r="J76" s="10" t="str">
        <f>VLOOKUP($A76,'Institution Evaluation'!$A$56:$K$346,10,0)&amp;""</f>
        <v/>
      </c>
      <c r="K76" s="10">
        <f t="shared" si="19"/>
        <v>5</v>
      </c>
      <c r="L76" s="114">
        <f>IF($E76="Not Scored", "N/A",IF(AND($D76='Auto Responses'!$J$27,$H76=""),"N/A",IF(AND($D76='Auto Responses'!$J$27,$H76='Auto Responses'!$J$7),1,IF(AND($D76='Auto Responses'!$J$27,$H76='Auto Responses'!$J$8),0,IF(OR($F76=$G76,$H76='Auto Responses'!$J$7),1,0)))))</f>
        <v>0</v>
      </c>
      <c r="M76" s="10" t="str">
        <f>VLOOKUP($A76,'Institution Evaluation'!$A$56:$K$346,10,0)&amp;""</f>
        <v/>
      </c>
      <c r="N76" s="10">
        <f t="shared" si="20"/>
        <v>0</v>
      </c>
      <c r="O76" s="114" t="str">
        <f>IF(OR($F$17="No",$E76="Not Scored",$F76="N/A"),"N/A",IF($J76="",$K76,IF($J76="Minor Importance",5,IF($J76="Standard Importance",10,IF($J76="Critical Importance",20,0)))))</f>
        <v>N/A</v>
      </c>
      <c r="P76" s="114" t="str">
        <f t="shared" si="21"/>
        <v>N/A</v>
      </c>
      <c r="Q76" s="114">
        <f t="shared" si="14"/>
        <v>0</v>
      </c>
      <c r="R76" s="114">
        <f t="shared" si="22"/>
        <v>0</v>
      </c>
      <c r="S76" s="114">
        <f t="shared" si="15"/>
        <v>0</v>
      </c>
      <c r="T76" s="114">
        <f t="shared" si="16"/>
        <v>0</v>
      </c>
      <c r="U76" s="114">
        <f t="shared" si="23"/>
        <v>22</v>
      </c>
      <c r="V76" s="114">
        <f t="shared" si="17"/>
        <v>0</v>
      </c>
    </row>
    <row r="77" spans="1:22" ht="60">
      <c r="A77" s="10" t="str">
        <f>Questions!$A77</f>
        <v>APPL-14</v>
      </c>
      <c r="B77" s="10" t="str">
        <f t="shared" si="18"/>
        <v>APPL</v>
      </c>
      <c r="C77" s="10" t="str">
        <f>VLOOKUP($A77,Questions!$A$3:$L$333,2,0)&amp;""</f>
        <v>Do you have a fully implemented policy or procedure that details how your employees obtain administrator access to institutional instance of the application?</v>
      </c>
      <c r="D77" s="10" t="str">
        <f>VLOOKUP($A77,Questions!$A$3:$L$333,11,0)&amp;""</f>
        <v/>
      </c>
      <c r="E77" s="10" t="str">
        <f>VLOOKUP($A77,Questions!$A$3:$L$333,12,0)&amp;""</f>
        <v>Infrastructure</v>
      </c>
      <c r="F77" s="10" t="str">
        <f>VLOOKUP($A77,'Institution Evaluation'!$A$56:$K$346,3,0)&amp;""</f>
        <v>yes</v>
      </c>
      <c r="G77" s="10" t="str">
        <f>VLOOKUP($A77,'Institution Evaluation'!$A$56:$K$346,7,0)&amp;""</f>
        <v>Yes</v>
      </c>
      <c r="H77" s="10" t="str">
        <f>VLOOKUP($A77,'Institution Evaluation'!$A$56:$K$346,8,0)&amp;""</f>
        <v/>
      </c>
      <c r="I77" s="10" t="str">
        <f>VLOOKUP($A77,'Institution Evaluation'!$A$56:$K$346,9,0)&amp;""</f>
        <v>Minor Importance</v>
      </c>
      <c r="J77" s="10" t="str">
        <f>VLOOKUP($A77,'Institution Evaluation'!$A$56:$K$346,10,0)&amp;""</f>
        <v/>
      </c>
      <c r="K77" s="10">
        <f t="shared" si="19"/>
        <v>5</v>
      </c>
      <c r="L77" s="114">
        <f>IF($E77="Not Scored", "N/A",IF(AND($D77='Auto Responses'!$J$27,$H77=""),"N/A",IF(AND($D77='Auto Responses'!$J$27,$H77='Auto Responses'!$J$7),1,IF(AND($D77='Auto Responses'!$J$27,$H77='Auto Responses'!$J$8),0,IF(OR($F77=$G77,$H77='Auto Responses'!$J$7),1,0)))))</f>
        <v>1</v>
      </c>
      <c r="M77" s="10" t="str">
        <f>VLOOKUP($A77,'Institution Evaluation'!$A$56:$K$346,10,0)&amp;""</f>
        <v/>
      </c>
      <c r="N77" s="10">
        <f t="shared" si="20"/>
        <v>0</v>
      </c>
      <c r="O77" s="114">
        <f t="shared" si="13"/>
        <v>5</v>
      </c>
      <c r="P77" s="114">
        <f t="shared" si="21"/>
        <v>5</v>
      </c>
      <c r="Q77" s="114">
        <f t="shared" si="14"/>
        <v>0</v>
      </c>
      <c r="R77" s="114">
        <f t="shared" si="22"/>
        <v>0</v>
      </c>
      <c r="S77" s="114">
        <f t="shared" si="15"/>
        <v>0</v>
      </c>
      <c r="T77" s="114">
        <f t="shared" si="16"/>
        <v>0</v>
      </c>
      <c r="U77" s="114">
        <f t="shared" si="23"/>
        <v>22</v>
      </c>
      <c r="V77" s="114">
        <f t="shared" si="17"/>
        <v>0</v>
      </c>
    </row>
    <row r="78" spans="1:22" ht="60">
      <c r="A78" s="10" t="str">
        <f>Questions!$A78</f>
        <v>AAAI-01</v>
      </c>
      <c r="B78" s="10" t="str">
        <f t="shared" si="18"/>
        <v>AAAI</v>
      </c>
      <c r="C78" s="10" t="str">
        <f>VLOOKUP($A78,Questions!$A$3:$L$333,2,0)&amp;""</f>
        <v>Does your solution support single sign-on (SSO) protocols for user and administrator authentication?*</v>
      </c>
      <c r="D78" s="10" t="str">
        <f>VLOOKUP($A78,Questions!$A$3:$L$333,11,0)&amp;""</f>
        <v/>
      </c>
      <c r="E78" s="10" t="str">
        <f>VLOOKUP($A78,Questions!$A$3:$L$333,12,0)&amp;""</f>
        <v>Product</v>
      </c>
      <c r="F78" s="10" t="str">
        <f>VLOOKUP($A78,'Institution Evaluation'!$A$56:$K$346,3,0)&amp;""</f>
        <v>no</v>
      </c>
      <c r="G78" s="10" t="str">
        <f>VLOOKUP($A78,'Institution Evaluation'!$A$56:$K$346,7,0)&amp;""</f>
        <v>Yes</v>
      </c>
      <c r="H78" s="10" t="str">
        <f>VLOOKUP($A78,'Institution Evaluation'!$A$56:$K$346,8,0)&amp;""</f>
        <v/>
      </c>
      <c r="I78" s="10" t="str">
        <f>VLOOKUP($A78,'Institution Evaluation'!$A$56:$K$346,9,0)&amp;""</f>
        <v>Critical Importance</v>
      </c>
      <c r="J78" s="10" t="str">
        <f>VLOOKUP($A78,'Institution Evaluation'!$A$56:$K$346,10,0)&amp;""</f>
        <v/>
      </c>
      <c r="K78" s="10">
        <f t="shared" si="19"/>
        <v>20</v>
      </c>
      <c r="L78" s="114">
        <f>IF($E78="Not Scored", "N/A",IF(AND($D78='Auto Responses'!$J$27,$H78=""),"N/A",IF(AND($D78='Auto Responses'!$J$27,$H78='Auto Responses'!$J$7),1,IF(AND($D78='Auto Responses'!$J$27,$H78='Auto Responses'!$J$8),0,IF(OR($F78=$G78,$H78='Auto Responses'!$J$7),1,0)))))</f>
        <v>0</v>
      </c>
      <c r="M78" s="10" t="str">
        <f>VLOOKUP($A78,'Institution Evaluation'!$A$56:$K$346,10,0)&amp;""</f>
        <v/>
      </c>
      <c r="N78" s="10">
        <f t="shared" si="20"/>
        <v>1</v>
      </c>
      <c r="O78" s="114">
        <f t="shared" ref="O78:O130" si="24">IF($E78="Not Scored","N/A",IF($J78="",$K78,IF($J78="Minor Importance",5,IF($J78="Standard Importance",10,IF($J78="Critical Importance",20,0)))))</f>
        <v>20</v>
      </c>
      <c r="P78" s="114">
        <f t="shared" si="21"/>
        <v>0</v>
      </c>
      <c r="Q78" s="114">
        <f t="shared" si="14"/>
        <v>0</v>
      </c>
      <c r="R78" s="114">
        <f t="shared" si="22"/>
        <v>0</v>
      </c>
      <c r="S78" s="114">
        <f t="shared" si="15"/>
        <v>0</v>
      </c>
      <c r="T78" s="114">
        <f t="shared" si="16"/>
        <v>1</v>
      </c>
      <c r="U78" s="114">
        <f t="shared" si="23"/>
        <v>23</v>
      </c>
      <c r="V78" s="114">
        <f t="shared" si="17"/>
        <v>23</v>
      </c>
    </row>
    <row r="79" spans="1:22" ht="60">
      <c r="A79" s="10" t="str">
        <f>Questions!$A79</f>
        <v>AAAI-02</v>
      </c>
      <c r="B79" s="10" t="str">
        <f t="shared" si="18"/>
        <v>AAAI</v>
      </c>
      <c r="C79" s="10" t="str">
        <f>VLOOKUP($A79,Questions!$A$3:$L$333,2,0)&amp;""</f>
        <v>For customers not using SSO, does your solution support local authentication protocols for user and administrator authentication?*</v>
      </c>
      <c r="D79" s="10" t="str">
        <f>VLOOKUP($A79,Questions!$A$3:$L$333,11,0)&amp;""</f>
        <v/>
      </c>
      <c r="E79" s="10" t="str">
        <f>VLOOKUP($A79,Questions!$A$3:$L$333,12,0)&amp;""</f>
        <v>Product</v>
      </c>
      <c r="F79" s="10" t="str">
        <f>VLOOKUP($A79,'Institution Evaluation'!$A$56:$K$346,3,0)&amp;""</f>
        <v>yes</v>
      </c>
      <c r="G79" s="10" t="str">
        <f>VLOOKUP($A79,'Institution Evaluation'!$A$56:$K$346,7,0)&amp;""</f>
        <v>Yes</v>
      </c>
      <c r="H79" s="10" t="str">
        <f>VLOOKUP($A79,'Institution Evaluation'!$A$56:$K$346,8,0)&amp;""</f>
        <v/>
      </c>
      <c r="I79" s="10" t="str">
        <f>VLOOKUP($A79,'Institution Evaluation'!$A$56:$K$346,9,0)&amp;""</f>
        <v>Critical Importance</v>
      </c>
      <c r="J79" s="10" t="str">
        <f>VLOOKUP($A79,'Institution Evaluation'!$A$56:$K$346,10,0)&amp;""</f>
        <v/>
      </c>
      <c r="K79" s="10">
        <f t="shared" si="19"/>
        <v>20</v>
      </c>
      <c r="L79" s="114">
        <f>IF($E79="Not Scored", "N/A",IF(AND($D79='Auto Responses'!$J$27,$H79=""),"N/A",IF(AND($D79='Auto Responses'!$J$27,$H79='Auto Responses'!$J$7),1,IF(AND($D79='Auto Responses'!$J$27,$H79='Auto Responses'!$J$8),0,IF(OR($F79=$G79,$H79='Auto Responses'!$J$7),1,0)))))</f>
        <v>1</v>
      </c>
      <c r="M79" s="10" t="str">
        <f>VLOOKUP($A79,'Institution Evaluation'!$A$56:$K$346,10,0)&amp;""</f>
        <v/>
      </c>
      <c r="N79" s="10">
        <f t="shared" si="20"/>
        <v>1</v>
      </c>
      <c r="O79" s="114">
        <f t="shared" si="24"/>
        <v>20</v>
      </c>
      <c r="P79" s="114">
        <f t="shared" si="21"/>
        <v>20</v>
      </c>
      <c r="Q79" s="114">
        <f t="shared" si="14"/>
        <v>0</v>
      </c>
      <c r="R79" s="114">
        <f t="shared" si="22"/>
        <v>0</v>
      </c>
      <c r="S79" s="114">
        <f t="shared" si="15"/>
        <v>0</v>
      </c>
      <c r="T79" s="114">
        <f t="shared" si="16"/>
        <v>1</v>
      </c>
      <c r="U79" s="114">
        <f t="shared" si="23"/>
        <v>24</v>
      </c>
      <c r="V79" s="114">
        <f t="shared" si="17"/>
        <v>24</v>
      </c>
    </row>
    <row r="80" spans="1:22" ht="60">
      <c r="A80" s="10" t="str">
        <f>Questions!$A80</f>
        <v>AAAI-03</v>
      </c>
      <c r="B80" s="10" t="str">
        <f t="shared" si="18"/>
        <v>AAAI</v>
      </c>
      <c r="C80" s="10" t="str">
        <f>VLOOKUP($A80,Questions!$A$3:$L$333,2,0)&amp;""</f>
        <v>For customers not using SSO, can you enforce password/passphrase complexity requirements (provided by the institution)?*</v>
      </c>
      <c r="D80" s="10" t="str">
        <f>VLOOKUP($A80,Questions!$A$3:$L$333,11,0)&amp;""</f>
        <v/>
      </c>
      <c r="E80" s="10" t="str">
        <f>VLOOKUP($A80,Questions!$A$3:$L$333,12,0)&amp;""</f>
        <v>Product</v>
      </c>
      <c r="F80" s="10" t="str">
        <f>VLOOKUP($A80,'Institution Evaluation'!$A$56:$K$346,3,0)&amp;""</f>
        <v>yes</v>
      </c>
      <c r="G80" s="10" t="str">
        <f>VLOOKUP($A80,'Institution Evaluation'!$A$56:$K$346,7,0)&amp;""</f>
        <v>Yes</v>
      </c>
      <c r="H80" s="10" t="str">
        <f>VLOOKUP($A80,'Institution Evaluation'!$A$56:$K$346,8,0)&amp;""</f>
        <v/>
      </c>
      <c r="I80" s="10" t="str">
        <f>VLOOKUP($A80,'Institution Evaluation'!$A$56:$K$346,9,0)&amp;""</f>
        <v>Critical Importance</v>
      </c>
      <c r="J80" s="10" t="str">
        <f>VLOOKUP($A80,'Institution Evaluation'!$A$56:$K$346,10,0)&amp;""</f>
        <v/>
      </c>
      <c r="K80" s="10">
        <f t="shared" si="19"/>
        <v>20</v>
      </c>
      <c r="L80" s="114">
        <f>IF($E80="Not Scored", "N/A",IF(AND($D80='Auto Responses'!$J$27,$H80=""),"N/A",IF(AND($D80='Auto Responses'!$J$27,$H80='Auto Responses'!$J$7),1,IF(AND($D80='Auto Responses'!$J$27,$H80='Auto Responses'!$J$8),0,IF(OR($F80=$G80,$H80='Auto Responses'!$J$7),1,0)))))</f>
        <v>1</v>
      </c>
      <c r="M80" s="10" t="str">
        <f>VLOOKUP($A80,'Institution Evaluation'!$A$56:$K$346,10,0)&amp;""</f>
        <v/>
      </c>
      <c r="N80" s="10">
        <f t="shared" si="20"/>
        <v>1</v>
      </c>
      <c r="O80" s="114">
        <f t="shared" si="24"/>
        <v>20</v>
      </c>
      <c r="P80" s="114">
        <f t="shared" si="21"/>
        <v>20</v>
      </c>
      <c r="Q80" s="114">
        <f t="shared" si="14"/>
        <v>0</v>
      </c>
      <c r="R80" s="114">
        <f t="shared" si="22"/>
        <v>0</v>
      </c>
      <c r="S80" s="114">
        <f t="shared" si="15"/>
        <v>0</v>
      </c>
      <c r="T80" s="114">
        <f t="shared" si="16"/>
        <v>1</v>
      </c>
      <c r="U80" s="114">
        <f t="shared" si="23"/>
        <v>25</v>
      </c>
      <c r="V80" s="114">
        <f t="shared" si="17"/>
        <v>25</v>
      </c>
    </row>
    <row r="81" spans="1:22" ht="60">
      <c r="A81" s="10" t="str">
        <f>Questions!$A81</f>
        <v>AAAI-04</v>
      </c>
      <c r="B81" s="10" t="str">
        <f t="shared" si="18"/>
        <v>AAAI</v>
      </c>
      <c r="C81" s="10" t="str">
        <f>VLOOKUP($A81,Questions!$A$3:$L$333,2,0)&amp;""</f>
        <v>For customers not using SSO, does the system have password complexity or length limitations and/or restrictions?*</v>
      </c>
      <c r="D81" s="10" t="str">
        <f>VLOOKUP($A81,Questions!$A$3:$L$333,11,0)&amp;""</f>
        <v/>
      </c>
      <c r="E81" s="10" t="str">
        <f>VLOOKUP($A81,Questions!$A$3:$L$333,12,0)&amp;""</f>
        <v>Product</v>
      </c>
      <c r="F81" s="10" t="str">
        <f>VLOOKUP($A81,'Institution Evaluation'!$A$56:$K$346,3,0)&amp;""</f>
        <v>yes</v>
      </c>
      <c r="G81" s="10" t="str">
        <f>VLOOKUP($A81,'Institution Evaluation'!$A$56:$K$346,7,0)&amp;""</f>
        <v>No</v>
      </c>
      <c r="H81" s="10" t="str">
        <f>VLOOKUP($A81,'Institution Evaluation'!$A$56:$K$346,8,0)&amp;""</f>
        <v/>
      </c>
      <c r="I81" s="10" t="str">
        <f>VLOOKUP($A81,'Institution Evaluation'!$A$56:$K$346,9,0)&amp;""</f>
        <v>Critical Importance</v>
      </c>
      <c r="J81" s="10" t="str">
        <f>VLOOKUP($A81,'Institution Evaluation'!$A$56:$K$346,10,0)&amp;""</f>
        <v/>
      </c>
      <c r="K81" s="10">
        <f t="shared" si="19"/>
        <v>20</v>
      </c>
      <c r="L81" s="114">
        <f>IF($E81="Not Scored", "N/A",IF(AND($D81='Auto Responses'!$J$27,$H81=""),"N/A",IF(AND($D81='Auto Responses'!$J$27,$H81='Auto Responses'!$J$7),1,IF(AND($D81='Auto Responses'!$J$27,$H81='Auto Responses'!$J$8),0,IF(OR($F81=$G81,$H81='Auto Responses'!$J$7),1,0)))))</f>
        <v>0</v>
      </c>
      <c r="M81" s="10" t="str">
        <f>VLOOKUP($A81,'Institution Evaluation'!$A$56:$K$346,10,0)&amp;""</f>
        <v/>
      </c>
      <c r="N81" s="10">
        <f t="shared" si="20"/>
        <v>1</v>
      </c>
      <c r="O81" s="114">
        <f t="shared" si="24"/>
        <v>20</v>
      </c>
      <c r="P81" s="114">
        <f t="shared" si="21"/>
        <v>0</v>
      </c>
      <c r="Q81" s="114">
        <f t="shared" si="14"/>
        <v>0</v>
      </c>
      <c r="R81" s="114">
        <f t="shared" si="22"/>
        <v>0</v>
      </c>
      <c r="S81" s="114">
        <f t="shared" si="15"/>
        <v>0</v>
      </c>
      <c r="T81" s="114">
        <f t="shared" si="16"/>
        <v>1</v>
      </c>
      <c r="U81" s="114">
        <f t="shared" si="23"/>
        <v>26</v>
      </c>
      <c r="V81" s="114">
        <f t="shared" si="17"/>
        <v>26</v>
      </c>
    </row>
    <row r="82" spans="1:22" ht="60">
      <c r="A82" s="10" t="str">
        <f>Questions!$A82</f>
        <v>AAAI-05</v>
      </c>
      <c r="B82" s="10" t="str">
        <f t="shared" si="18"/>
        <v>AAAI</v>
      </c>
      <c r="C82" s="10" t="str">
        <f>VLOOKUP($A82,Questions!$A$3:$L$333,2,0)&amp;""</f>
        <v>For customers not using SSO, do you have documented password/passphrase reset procedures that are currently implemented in the system and/or customer support?*</v>
      </c>
      <c r="D82" s="10" t="str">
        <f>VLOOKUP($A82,Questions!$A$3:$L$333,11,0)&amp;""</f>
        <v/>
      </c>
      <c r="E82" s="10" t="str">
        <f>VLOOKUP($A82,Questions!$A$3:$L$333,12,0)&amp;""</f>
        <v>Product</v>
      </c>
      <c r="F82" s="10" t="str">
        <f>VLOOKUP($A82,'Institution Evaluation'!$A$56:$K$346,3,0)&amp;""</f>
        <v>yes</v>
      </c>
      <c r="G82" s="10" t="str">
        <f>VLOOKUP($A82,'Institution Evaluation'!$A$56:$K$346,7,0)&amp;""</f>
        <v>Yes</v>
      </c>
      <c r="H82" s="10" t="str">
        <f>VLOOKUP($A82,'Institution Evaluation'!$A$56:$K$346,8,0)&amp;""</f>
        <v/>
      </c>
      <c r="I82" s="10" t="str">
        <f>VLOOKUP($A82,'Institution Evaluation'!$A$56:$K$346,9,0)&amp;""</f>
        <v>Critical Importance</v>
      </c>
      <c r="J82" s="10" t="str">
        <f>VLOOKUP($A82,'Institution Evaluation'!$A$56:$K$346,10,0)&amp;""</f>
        <v/>
      </c>
      <c r="K82" s="10">
        <f t="shared" si="19"/>
        <v>20</v>
      </c>
      <c r="L82" s="114">
        <f>IF($E82="Not Scored", "N/A",IF(AND($D82='Auto Responses'!$J$27,$H82=""),"N/A",IF(AND($D82='Auto Responses'!$J$27,$H82='Auto Responses'!$J$7),1,IF(AND($D82='Auto Responses'!$J$27,$H82='Auto Responses'!$J$8),0,IF(OR($F82=$G82,$H82='Auto Responses'!$J$7),1,0)))))</f>
        <v>1</v>
      </c>
      <c r="M82" s="10" t="str">
        <f>VLOOKUP($A82,'Institution Evaluation'!$A$56:$K$346,10,0)&amp;""</f>
        <v/>
      </c>
      <c r="N82" s="10">
        <f t="shared" si="20"/>
        <v>1</v>
      </c>
      <c r="O82" s="114">
        <f t="shared" si="24"/>
        <v>20</v>
      </c>
      <c r="P82" s="114">
        <f t="shared" si="21"/>
        <v>20</v>
      </c>
      <c r="Q82" s="114">
        <f t="shared" si="14"/>
        <v>0</v>
      </c>
      <c r="R82" s="114">
        <f t="shared" si="22"/>
        <v>0</v>
      </c>
      <c r="S82" s="114">
        <f t="shared" si="15"/>
        <v>0</v>
      </c>
      <c r="T82" s="114">
        <f t="shared" si="16"/>
        <v>1</v>
      </c>
      <c r="U82" s="114">
        <f t="shared" si="23"/>
        <v>27</v>
      </c>
      <c r="V82" s="114">
        <f t="shared" si="17"/>
        <v>27</v>
      </c>
    </row>
    <row r="83" spans="1:22" ht="60">
      <c r="A83" s="10" t="str">
        <f>Questions!$A83</f>
        <v>AAAI-06</v>
      </c>
      <c r="B83" s="10" t="str">
        <f t="shared" si="18"/>
        <v>AAAI</v>
      </c>
      <c r="C83" s="10" t="str">
        <f>VLOOKUP($A83,Questions!$A$3:$L$333,2,0)&amp;""</f>
        <v>Does your organization participate in InCommon or another eduGAIN-affiliated trust federation?*</v>
      </c>
      <c r="D83" s="10" t="str">
        <f>VLOOKUP($A83,Questions!$A$3:$L$333,11,0)&amp;""</f>
        <v/>
      </c>
      <c r="E83" s="10" t="str">
        <f>VLOOKUP($A83,Questions!$A$3:$L$333,12,0)&amp;""</f>
        <v>Product</v>
      </c>
      <c r="F83" s="10" t="str">
        <f>VLOOKUP($A83,'Institution Evaluation'!$A$56:$K$346,3,0)&amp;""</f>
        <v>no</v>
      </c>
      <c r="G83" s="10" t="str">
        <f>VLOOKUP($A83,'Institution Evaluation'!$A$56:$K$346,7,0)&amp;""</f>
        <v>Yes</v>
      </c>
      <c r="H83" s="10" t="str">
        <f>VLOOKUP($A83,'Institution Evaluation'!$A$56:$K$346,8,0)&amp;""</f>
        <v/>
      </c>
      <c r="I83" s="10" t="str">
        <f>VLOOKUP($A83,'Institution Evaluation'!$A$56:$K$346,9,0)&amp;""</f>
        <v>Critical Importance</v>
      </c>
      <c r="J83" s="10" t="str">
        <f>VLOOKUP($A83,'Institution Evaluation'!$A$56:$K$346,10,0)&amp;""</f>
        <v/>
      </c>
      <c r="K83" s="10">
        <f t="shared" si="19"/>
        <v>20</v>
      </c>
      <c r="L83" s="114">
        <f>IF($E83="Not Scored", "N/A",IF(AND($D83='Auto Responses'!$J$27,$H83=""),"N/A",IF(AND($D83='Auto Responses'!$J$27,$H83='Auto Responses'!$J$7),1,IF(AND($D83='Auto Responses'!$J$27,$H83='Auto Responses'!$J$8),0,IF(OR($F83=$G83,$H83='Auto Responses'!$J$7),1,0)))))</f>
        <v>0</v>
      </c>
      <c r="M83" s="10" t="str">
        <f>VLOOKUP($A83,'Institution Evaluation'!$A$56:$K$346,10,0)&amp;""</f>
        <v/>
      </c>
      <c r="N83" s="10">
        <f t="shared" si="20"/>
        <v>1</v>
      </c>
      <c r="O83" s="114">
        <f t="shared" si="24"/>
        <v>20</v>
      </c>
      <c r="P83" s="114">
        <f t="shared" si="21"/>
        <v>0</v>
      </c>
      <c r="Q83" s="114">
        <f t="shared" si="14"/>
        <v>0</v>
      </c>
      <c r="R83" s="114">
        <f t="shared" si="22"/>
        <v>0</v>
      </c>
      <c r="S83" s="114">
        <f t="shared" si="15"/>
        <v>0</v>
      </c>
      <c r="T83" s="114">
        <f t="shared" si="16"/>
        <v>1</v>
      </c>
      <c r="U83" s="114">
        <f t="shared" si="23"/>
        <v>28</v>
      </c>
      <c r="V83" s="114">
        <f t="shared" si="17"/>
        <v>28</v>
      </c>
    </row>
    <row r="84" spans="1:22" ht="60">
      <c r="A84" s="10" t="str">
        <f>Questions!$A84</f>
        <v>AAAI-07</v>
      </c>
      <c r="B84" s="10" t="str">
        <f t="shared" si="18"/>
        <v>AAAI</v>
      </c>
      <c r="C84" s="10" t="str">
        <f>VLOOKUP($A84,Questions!$A$3:$L$333,2,0)&amp;""</f>
        <v>Are there any passwords/passphrases hard-coded into your systems or solutions?*</v>
      </c>
      <c r="D84" s="10" t="str">
        <f>VLOOKUP($A84,Questions!$A$3:$L$333,11,0)&amp;""</f>
        <v/>
      </c>
      <c r="E84" s="10" t="str">
        <f>VLOOKUP($A84,Questions!$A$3:$L$333,12,0)&amp;""</f>
        <v>Product</v>
      </c>
      <c r="F84" s="10" t="str">
        <f>VLOOKUP($A84,'Institution Evaluation'!$A$56:$K$346,3,0)&amp;""</f>
        <v>no</v>
      </c>
      <c r="G84" s="10" t="str">
        <f>VLOOKUP($A84,'Institution Evaluation'!$A$56:$K$346,7,0)&amp;""</f>
        <v>No</v>
      </c>
      <c r="H84" s="10" t="str">
        <f>VLOOKUP($A84,'Institution Evaluation'!$A$56:$K$346,8,0)&amp;""</f>
        <v/>
      </c>
      <c r="I84" s="10" t="str">
        <f>VLOOKUP($A84,'Institution Evaluation'!$A$56:$K$346,9,0)&amp;""</f>
        <v>Critical Importance</v>
      </c>
      <c r="J84" s="10" t="str">
        <f>VLOOKUP($A84,'Institution Evaluation'!$A$56:$K$346,10,0)&amp;""</f>
        <v/>
      </c>
      <c r="K84" s="10">
        <f t="shared" si="19"/>
        <v>20</v>
      </c>
      <c r="L84" s="114">
        <f>IF($E84="Not Scored", "N/A",IF(AND($D84='Auto Responses'!$J$27,$H84=""),"N/A",IF(AND($D84='Auto Responses'!$J$27,$H84='Auto Responses'!$J$7),1,IF(AND($D84='Auto Responses'!$J$27,$H84='Auto Responses'!$J$8),0,IF(OR($F84=$G84,$H84='Auto Responses'!$J$7),1,0)))))</f>
        <v>1</v>
      </c>
      <c r="M84" s="10" t="str">
        <f>VLOOKUP($A84,'Institution Evaluation'!$A$56:$K$346,10,0)&amp;""</f>
        <v/>
      </c>
      <c r="N84" s="10">
        <f t="shared" si="20"/>
        <v>1</v>
      </c>
      <c r="O84" s="114">
        <f t="shared" si="24"/>
        <v>20</v>
      </c>
      <c r="P84" s="114">
        <f t="shared" si="21"/>
        <v>20</v>
      </c>
      <c r="Q84" s="114">
        <f t="shared" si="14"/>
        <v>0</v>
      </c>
      <c r="R84" s="114">
        <f t="shared" si="22"/>
        <v>0</v>
      </c>
      <c r="S84" s="114">
        <f t="shared" si="15"/>
        <v>0</v>
      </c>
      <c r="T84" s="114">
        <f t="shared" si="16"/>
        <v>1</v>
      </c>
      <c r="U84" s="114">
        <f t="shared" si="23"/>
        <v>29</v>
      </c>
      <c r="V84" s="114">
        <f t="shared" si="17"/>
        <v>29</v>
      </c>
    </row>
    <row r="85" spans="1:22" ht="60">
      <c r="A85" s="10" t="str">
        <f>Questions!$A85</f>
        <v>AAAI-08</v>
      </c>
      <c r="B85" s="10" t="str">
        <f t="shared" si="18"/>
        <v>AAAI</v>
      </c>
      <c r="C85" s="10" t="str">
        <f>VLOOKUP($A85,Questions!$A$3:$L$333,2,0)&amp;""</f>
        <v>Are you storing any passwords in plaintext?*</v>
      </c>
      <c r="D85" s="10" t="str">
        <f>VLOOKUP($A85,Questions!$A$3:$L$333,11,0)&amp;""</f>
        <v/>
      </c>
      <c r="E85" s="10" t="str">
        <f>VLOOKUP($A85,Questions!$A$3:$L$333,12,0)&amp;""</f>
        <v>Product</v>
      </c>
      <c r="F85" s="10" t="str">
        <f>VLOOKUP($A85,'Institution Evaluation'!$A$56:$K$346,3,0)&amp;""</f>
        <v>no</v>
      </c>
      <c r="G85" s="10" t="str">
        <f>VLOOKUP($A85,'Institution Evaluation'!$A$56:$K$346,7,0)&amp;""</f>
        <v>No</v>
      </c>
      <c r="H85" s="10" t="str">
        <f>VLOOKUP($A85,'Institution Evaluation'!$A$56:$K$346,8,0)&amp;""</f>
        <v/>
      </c>
      <c r="I85" s="10" t="str">
        <f>VLOOKUP($A85,'Institution Evaluation'!$A$56:$K$346,9,0)&amp;""</f>
        <v>Critical Importance</v>
      </c>
      <c r="J85" s="10" t="str">
        <f>VLOOKUP($A85,'Institution Evaluation'!$A$56:$K$346,10,0)&amp;""</f>
        <v/>
      </c>
      <c r="K85" s="10">
        <f t="shared" si="19"/>
        <v>20</v>
      </c>
      <c r="L85" s="114">
        <f>IF($E85="Not Scored", "N/A",IF(AND($D85='Auto Responses'!$J$27,$H85=""),"N/A",IF(AND($D85='Auto Responses'!$J$27,$H85='Auto Responses'!$J$7),1,IF(AND($D85='Auto Responses'!$J$27,$H85='Auto Responses'!$J$8),0,IF(OR($F85=$G85,$H85='Auto Responses'!$J$7),1,0)))))</f>
        <v>1</v>
      </c>
      <c r="M85" s="10" t="str">
        <f>VLOOKUP($A85,'Institution Evaluation'!$A$56:$K$346,10,0)&amp;""</f>
        <v/>
      </c>
      <c r="N85" s="10">
        <f t="shared" si="20"/>
        <v>1</v>
      </c>
      <c r="O85" s="114">
        <f t="shared" si="24"/>
        <v>20</v>
      </c>
      <c r="P85" s="114">
        <f t="shared" si="21"/>
        <v>20</v>
      </c>
      <c r="Q85" s="114">
        <f t="shared" si="14"/>
        <v>0</v>
      </c>
      <c r="R85" s="114">
        <f t="shared" si="22"/>
        <v>0</v>
      </c>
      <c r="S85" s="114">
        <f t="shared" si="15"/>
        <v>0</v>
      </c>
      <c r="T85" s="114">
        <f t="shared" si="16"/>
        <v>1</v>
      </c>
      <c r="U85" s="114">
        <f t="shared" si="23"/>
        <v>30</v>
      </c>
      <c r="V85" s="114">
        <f t="shared" si="17"/>
        <v>30</v>
      </c>
    </row>
    <row r="86" spans="1:22" ht="60">
      <c r="A86" s="10" t="str">
        <f>Questions!$A86</f>
        <v>AAAI-09</v>
      </c>
      <c r="B86" s="10" t="str">
        <f t="shared" si="18"/>
        <v>AAAI</v>
      </c>
      <c r="C86" s="10" t="str">
        <f>VLOOKUP($A86,Questions!$A$3:$L$333,2,0)&amp;""</f>
        <v>Are audit logs available that include AT LEAST all of the following: login, logout, actions performed, and source IP address?*</v>
      </c>
      <c r="D86" s="10" t="str">
        <f>VLOOKUP($A86,Questions!$A$3:$L$333,11,0)&amp;""</f>
        <v/>
      </c>
      <c r="E86" s="10" t="str">
        <f>VLOOKUP($A86,Questions!$A$3:$L$333,12,0)&amp;""</f>
        <v>Product</v>
      </c>
      <c r="F86" s="10" t="str">
        <f>VLOOKUP($A86,'Institution Evaluation'!$A$56:$K$346,3,0)&amp;""</f>
        <v>yes</v>
      </c>
      <c r="G86" s="10" t="str">
        <f>VLOOKUP($A86,'Institution Evaluation'!$A$56:$K$346,7,0)&amp;""</f>
        <v>Yes</v>
      </c>
      <c r="H86" s="10" t="str">
        <f>VLOOKUP($A86,'Institution Evaluation'!$A$56:$K$346,8,0)&amp;""</f>
        <v/>
      </c>
      <c r="I86" s="10" t="str">
        <f>VLOOKUP($A86,'Institution Evaluation'!$A$56:$K$346,9,0)&amp;""</f>
        <v>Critical Importance</v>
      </c>
      <c r="J86" s="10" t="str">
        <f>VLOOKUP($A86,'Institution Evaluation'!$A$56:$K$346,10,0)&amp;""</f>
        <v/>
      </c>
      <c r="K86" s="10">
        <f t="shared" si="19"/>
        <v>20</v>
      </c>
      <c r="L86" s="114">
        <f>IF($E86="Not Scored", "N/A",IF(AND($D86='Auto Responses'!$J$27,$H86=""),"N/A",IF(AND($D86='Auto Responses'!$J$27,$H86='Auto Responses'!$J$7),1,IF(AND($D86='Auto Responses'!$J$27,$H86='Auto Responses'!$J$8),0,IF(OR($F86=$G86,$H86='Auto Responses'!$J$7),1,0)))))</f>
        <v>1</v>
      </c>
      <c r="M86" s="10" t="str">
        <f>VLOOKUP($A86,'Institution Evaluation'!$A$56:$K$346,10,0)&amp;""</f>
        <v/>
      </c>
      <c r="N86" s="10">
        <f t="shared" si="20"/>
        <v>1</v>
      </c>
      <c r="O86" s="114">
        <f t="shared" si="24"/>
        <v>20</v>
      </c>
      <c r="P86" s="114">
        <f t="shared" si="21"/>
        <v>20</v>
      </c>
      <c r="Q86" s="114">
        <f t="shared" si="14"/>
        <v>0</v>
      </c>
      <c r="R86" s="114">
        <f t="shared" si="22"/>
        <v>0</v>
      </c>
      <c r="S86" s="114">
        <f t="shared" si="15"/>
        <v>0</v>
      </c>
      <c r="T86" s="114">
        <f t="shared" si="16"/>
        <v>1</v>
      </c>
      <c r="U86" s="114">
        <f t="shared" si="23"/>
        <v>31</v>
      </c>
      <c r="V86" s="114">
        <f t="shared" si="17"/>
        <v>31</v>
      </c>
    </row>
    <row r="87" spans="1:22" ht="105">
      <c r="A87" s="10" t="str">
        <f>Questions!$A87</f>
        <v>AAAI-10</v>
      </c>
      <c r="B87" s="10" t="str">
        <f t="shared" si="18"/>
        <v>AAAI</v>
      </c>
      <c r="C87" s="10"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10" t="str">
        <f>VLOOKUP($A87,Questions!$A$3:$L$333,11,0)&amp;""</f>
        <v/>
      </c>
      <c r="E87" s="10" t="str">
        <f>VLOOKUP($A87,Questions!$A$3:$L$333,12,0)&amp;""</f>
        <v>Not scored</v>
      </c>
      <c r="F87" s="10" t="str">
        <f>VLOOKUP($A87,'Institution Evaluation'!$A$56:$K$346,3,0)&amp;""</f>
        <v/>
      </c>
      <c r="G87" s="10" t="str">
        <f>VLOOKUP($A87,'Institution Evaluation'!$A$56:$K$346,7,0)&amp;""</f>
        <v>Not scored</v>
      </c>
      <c r="H87" s="10" t="str">
        <f>VLOOKUP($A87,'Institution Evaluation'!$A$56:$K$346,8,0)&amp;""</f>
        <v/>
      </c>
      <c r="I87" s="10" t="str">
        <f>VLOOKUP($A87,'Institution Evaluation'!$A$56:$K$346,9,0)&amp;""</f>
        <v>Critical Importance</v>
      </c>
      <c r="J87" s="10" t="str">
        <f>VLOOKUP($A87,'Institution Evaluation'!$A$56:$K$346,10,0)&amp;""</f>
        <v/>
      </c>
      <c r="K87" s="10">
        <f t="shared" si="19"/>
        <v>20</v>
      </c>
      <c r="L87" s="114" t="str">
        <f>IF($E87="Not Scored", "N/A",IF(AND($D87='Auto Responses'!$J$27,$H87=""),"N/A",IF(AND($D87='Auto Responses'!$J$27,$H87='Auto Responses'!$J$7),1,IF(AND($D87='Auto Responses'!$J$27,$H87='Auto Responses'!$J$8),0,IF(OR($F87=$G87,$H87='Auto Responses'!$J$7),1,0)))))</f>
        <v>N/A</v>
      </c>
      <c r="M87" s="10" t="str">
        <f>VLOOKUP($A87,'Institution Evaluation'!$A$56:$K$346,10,0)&amp;""</f>
        <v/>
      </c>
      <c r="N87" s="10">
        <f t="shared" si="20"/>
        <v>1</v>
      </c>
      <c r="O87" s="114" t="str">
        <f t="shared" si="24"/>
        <v>N/A</v>
      </c>
      <c r="P87" s="114" t="str">
        <f t="shared" si="21"/>
        <v>N/A</v>
      </c>
      <c r="Q87" s="114">
        <f t="shared" si="14"/>
        <v>0</v>
      </c>
      <c r="R87" s="114">
        <f t="shared" si="22"/>
        <v>0</v>
      </c>
      <c r="S87" s="114">
        <f t="shared" si="15"/>
        <v>0</v>
      </c>
      <c r="T87" s="114">
        <f t="shared" si="16"/>
        <v>1</v>
      </c>
      <c r="U87" s="114">
        <f t="shared" si="23"/>
        <v>32</v>
      </c>
      <c r="V87" s="114">
        <f t="shared" si="17"/>
        <v>32</v>
      </c>
    </row>
    <row r="88" spans="1:22" ht="60">
      <c r="A88" s="10" t="str">
        <f>Questions!$A88</f>
        <v>AAAI-11</v>
      </c>
      <c r="B88" s="10" t="str">
        <f t="shared" si="18"/>
        <v>AAAI</v>
      </c>
      <c r="C88" s="10" t="str">
        <f>VLOOKUP($A88,Questions!$A$3:$L$333,2,0)&amp;""</f>
        <v>Can you provide the institution documentation regarding the retention period for those logs, how logs are protected, and whether they are accessible to the customer (and if so, how)?*</v>
      </c>
      <c r="D88" s="10" t="str">
        <f>VLOOKUP($A88,Questions!$A$3:$L$333,11,0)&amp;""</f>
        <v/>
      </c>
      <c r="E88" s="10" t="str">
        <f>VLOOKUP($A88,Questions!$A$3:$L$333,12,0)&amp;""</f>
        <v>Product</v>
      </c>
      <c r="F88" s="10" t="str">
        <f>VLOOKUP($A88,'Institution Evaluation'!$A$56:$K$346,3,0)&amp;""</f>
        <v>yes</v>
      </c>
      <c r="G88" s="10" t="str">
        <f>VLOOKUP($A88,'Institution Evaluation'!$A$56:$K$346,7,0)&amp;""</f>
        <v>Yes</v>
      </c>
      <c r="H88" s="10" t="str">
        <f>VLOOKUP($A88,'Institution Evaluation'!$A$56:$K$346,8,0)&amp;""</f>
        <v/>
      </c>
      <c r="I88" s="10" t="str">
        <f>VLOOKUP($A88,'Institution Evaluation'!$A$56:$K$346,9,0)&amp;""</f>
        <v>Critical Importance</v>
      </c>
      <c r="J88" s="10" t="str">
        <f>VLOOKUP($A88,'Institution Evaluation'!$A$56:$K$346,10,0)&amp;""</f>
        <v/>
      </c>
      <c r="K88" s="10">
        <f t="shared" si="19"/>
        <v>20</v>
      </c>
      <c r="L88" s="114">
        <f>IF($E88="Not Scored", "N/A",IF(AND($D88='Auto Responses'!$J$27,$H88=""),"N/A",IF(AND($D88='Auto Responses'!$J$27,$H88='Auto Responses'!$J$7),1,IF(AND($D88='Auto Responses'!$J$27,$H88='Auto Responses'!$J$8),0,IF(OR($F88=$G88,$H88='Auto Responses'!$J$7),1,0)))))</f>
        <v>1</v>
      </c>
      <c r="M88" s="10" t="str">
        <f>VLOOKUP($A88,'Institution Evaluation'!$A$56:$K$346,10,0)&amp;""</f>
        <v/>
      </c>
      <c r="N88" s="10">
        <f t="shared" si="20"/>
        <v>1</v>
      </c>
      <c r="O88" s="114">
        <f t="shared" si="24"/>
        <v>20</v>
      </c>
      <c r="P88" s="114">
        <f t="shared" si="21"/>
        <v>20</v>
      </c>
      <c r="Q88" s="114">
        <f t="shared" si="14"/>
        <v>0</v>
      </c>
      <c r="R88" s="114">
        <f t="shared" si="22"/>
        <v>0</v>
      </c>
      <c r="S88" s="114">
        <f t="shared" si="15"/>
        <v>0</v>
      </c>
      <c r="T88" s="114">
        <f t="shared" si="16"/>
        <v>1</v>
      </c>
      <c r="U88" s="114">
        <f t="shared" si="23"/>
        <v>33</v>
      </c>
      <c r="V88" s="114">
        <f t="shared" si="17"/>
        <v>33</v>
      </c>
    </row>
    <row r="89" spans="1:22" ht="60">
      <c r="A89" s="10" t="str">
        <f>Questions!$A89</f>
        <v>AAAI-12</v>
      </c>
      <c r="B89" s="10" t="str">
        <f t="shared" si="18"/>
        <v>AAAI</v>
      </c>
      <c r="C89" s="10" t="str">
        <f>VLOOKUP($A89,Questions!$A$3:$L$333,2,0)&amp;""</f>
        <v>For customers not using SSO, does your application support integration with other authentication and authorization systems?</v>
      </c>
      <c r="D89" s="10" t="str">
        <f>VLOOKUP($A89,Questions!$A$3:$L$333,11,0)&amp;""</f>
        <v/>
      </c>
      <c r="E89" s="10" t="str">
        <f>VLOOKUP($A89,Questions!$A$3:$L$333,12,0)&amp;""</f>
        <v>Product</v>
      </c>
      <c r="F89" s="10" t="str">
        <f>VLOOKUP($A89,'Institution Evaluation'!$A$56:$K$346,3,0)&amp;""</f>
        <v>no</v>
      </c>
      <c r="G89" s="10" t="str">
        <f>VLOOKUP($A89,'Institution Evaluation'!$A$56:$K$346,7,0)&amp;""</f>
        <v>Yes</v>
      </c>
      <c r="H89" s="10" t="str">
        <f>VLOOKUP($A89,'Institution Evaluation'!$A$56:$K$346,8,0)&amp;""</f>
        <v/>
      </c>
      <c r="I89" s="10" t="str">
        <f>VLOOKUP($A89,'Institution Evaluation'!$A$56:$K$346,9,0)&amp;""</f>
        <v>Standard Importance</v>
      </c>
      <c r="J89" s="10" t="str">
        <f>VLOOKUP($A89,'Institution Evaluation'!$A$56:$K$346,10,0)&amp;""</f>
        <v/>
      </c>
      <c r="K89" s="10">
        <f t="shared" si="19"/>
        <v>10</v>
      </c>
      <c r="L89" s="114">
        <f>IF($E89="Not Scored", "N/A",IF(AND($D89='Auto Responses'!$J$27,$H89=""),"N/A",IF(AND($D89='Auto Responses'!$J$27,$H89='Auto Responses'!$J$7),1,IF(AND($D89='Auto Responses'!$J$27,$H89='Auto Responses'!$J$8),0,IF(OR($F89=$G89,$H89='Auto Responses'!$J$7),1,0)))))</f>
        <v>0</v>
      </c>
      <c r="M89" s="10" t="str">
        <f>VLOOKUP($A89,'Institution Evaluation'!$A$56:$K$346,10,0)&amp;""</f>
        <v/>
      </c>
      <c r="N89" s="10">
        <f t="shared" si="20"/>
        <v>0</v>
      </c>
      <c r="O89" s="114">
        <f t="shared" si="24"/>
        <v>10</v>
      </c>
      <c r="P89" s="114">
        <f t="shared" si="21"/>
        <v>0</v>
      </c>
      <c r="Q89" s="114">
        <f t="shared" si="14"/>
        <v>0</v>
      </c>
      <c r="R89" s="114">
        <f t="shared" si="22"/>
        <v>0</v>
      </c>
      <c r="S89" s="114">
        <f t="shared" si="15"/>
        <v>0</v>
      </c>
      <c r="T89" s="114">
        <f t="shared" si="16"/>
        <v>0</v>
      </c>
      <c r="U89" s="114">
        <f t="shared" si="23"/>
        <v>33</v>
      </c>
      <c r="V89" s="114">
        <f t="shared" si="17"/>
        <v>0</v>
      </c>
    </row>
    <row r="90" spans="1:22" ht="60">
      <c r="A90" s="10" t="str">
        <f>Questions!$A90</f>
        <v>AAAI-13</v>
      </c>
      <c r="B90" s="10" t="str">
        <f t="shared" si="18"/>
        <v>AAAI</v>
      </c>
      <c r="C90" s="10" t="str">
        <f>VLOOKUP($A90,Questions!$A$3:$L$333,2,0)&amp;""</f>
        <v>Do you allow the customer to specify attribute mappings for any needed information beyond a user identifier? (e.g., Reference eduPerson, ePPA/ePPN/ePE)</v>
      </c>
      <c r="D90" s="10" t="str">
        <f>VLOOKUP($A90,Questions!$A$3:$L$333,11,0)&amp;""</f>
        <v/>
      </c>
      <c r="E90" s="10" t="str">
        <f>VLOOKUP($A90,Questions!$A$3:$L$333,12,0)&amp;""</f>
        <v>Product</v>
      </c>
      <c r="F90" s="10" t="str">
        <f>VLOOKUP($A90,'Institution Evaluation'!$A$56:$K$346,3,0)&amp;""</f>
        <v>no</v>
      </c>
      <c r="G90" s="10" t="str">
        <f>VLOOKUP($A90,'Institution Evaluation'!$A$56:$K$346,7,0)&amp;""</f>
        <v>Yes</v>
      </c>
      <c r="H90" s="10" t="str">
        <f>VLOOKUP($A90,'Institution Evaluation'!$A$56:$K$346,8,0)&amp;""</f>
        <v/>
      </c>
      <c r="I90" s="10" t="str">
        <f>VLOOKUP($A90,'Institution Evaluation'!$A$56:$K$346,9,0)&amp;""</f>
        <v>Standard Importance</v>
      </c>
      <c r="J90" s="10" t="str">
        <f>VLOOKUP($A90,'Institution Evaluation'!$A$56:$K$346,10,0)&amp;""</f>
        <v/>
      </c>
      <c r="K90" s="10">
        <f t="shared" si="19"/>
        <v>10</v>
      </c>
      <c r="L90" s="114">
        <f>IF($E90="Not Scored", "N/A",IF(AND($D90='Auto Responses'!$J$27,$H90=""),"N/A",IF(AND($D90='Auto Responses'!$J$27,$H90='Auto Responses'!$J$7),1,IF(AND($D90='Auto Responses'!$J$27,$H90='Auto Responses'!$J$8),0,IF(OR($F90=$G90,$H90='Auto Responses'!$J$7),1,0)))))</f>
        <v>0</v>
      </c>
      <c r="M90" s="10" t="str">
        <f>VLOOKUP($A90,'Institution Evaluation'!$A$56:$K$346,10,0)&amp;""</f>
        <v/>
      </c>
      <c r="N90" s="10">
        <f t="shared" si="20"/>
        <v>0</v>
      </c>
      <c r="O90" s="114">
        <f t="shared" si="24"/>
        <v>10</v>
      </c>
      <c r="P90" s="114">
        <f t="shared" si="21"/>
        <v>0</v>
      </c>
      <c r="Q90" s="114">
        <f t="shared" si="14"/>
        <v>0</v>
      </c>
      <c r="R90" s="114">
        <f t="shared" si="22"/>
        <v>0</v>
      </c>
      <c r="S90" s="114">
        <f t="shared" si="15"/>
        <v>0</v>
      </c>
      <c r="T90" s="114">
        <f t="shared" si="16"/>
        <v>0</v>
      </c>
      <c r="U90" s="114">
        <f t="shared" si="23"/>
        <v>33</v>
      </c>
      <c r="V90" s="114">
        <f t="shared" si="17"/>
        <v>0</v>
      </c>
    </row>
    <row r="91" spans="1:22" ht="60">
      <c r="A91" s="10" t="str">
        <f>Questions!$A91</f>
        <v>AAAI-14</v>
      </c>
      <c r="B91" s="10" t="str">
        <f t="shared" si="18"/>
        <v>AAAI</v>
      </c>
      <c r="C91" s="10" t="str">
        <f>VLOOKUP($A91,Questions!$A$3:$L$333,2,0)&amp;""</f>
        <v>For customers not using SSO, does your application support directory integration for user accounts?</v>
      </c>
      <c r="D91" s="10" t="str">
        <f>VLOOKUP($A91,Questions!$A$3:$L$333,11,0)&amp;""</f>
        <v/>
      </c>
      <c r="E91" s="10" t="str">
        <f>VLOOKUP($A91,Questions!$A$3:$L$333,12,0)&amp;""</f>
        <v>Product</v>
      </c>
      <c r="F91" s="10" t="str">
        <f>VLOOKUP($A91,'Institution Evaluation'!$A$56:$K$346,3,0)&amp;""</f>
        <v>no</v>
      </c>
      <c r="G91" s="10" t="str">
        <f>VLOOKUP($A91,'Institution Evaluation'!$A$56:$K$346,7,0)&amp;""</f>
        <v>Yes</v>
      </c>
      <c r="H91" s="10" t="str">
        <f>VLOOKUP($A91,'Institution Evaluation'!$A$56:$K$346,8,0)&amp;""</f>
        <v/>
      </c>
      <c r="I91" s="10" t="str">
        <f>VLOOKUP($A91,'Institution Evaluation'!$A$56:$K$346,9,0)&amp;""</f>
        <v>Standard Importance</v>
      </c>
      <c r="J91" s="10" t="str">
        <f>VLOOKUP($A91,'Institution Evaluation'!$A$56:$K$346,10,0)&amp;""</f>
        <v/>
      </c>
      <c r="K91" s="10">
        <f t="shared" si="19"/>
        <v>10</v>
      </c>
      <c r="L91" s="114">
        <f>IF($E91="Not Scored", "N/A",IF(AND($D91='Auto Responses'!$J$27,$H91=""),"N/A",IF(AND($D91='Auto Responses'!$J$27,$H91='Auto Responses'!$J$7),1,IF(AND($D91='Auto Responses'!$J$27,$H91='Auto Responses'!$J$8),0,IF(OR($F91=$G91,$H91='Auto Responses'!$J$7),1,0)))))</f>
        <v>0</v>
      </c>
      <c r="M91" s="10" t="str">
        <f>VLOOKUP($A91,'Institution Evaluation'!$A$56:$K$346,10,0)&amp;""</f>
        <v/>
      </c>
      <c r="N91" s="10">
        <f t="shared" si="20"/>
        <v>0</v>
      </c>
      <c r="O91" s="114">
        <f t="shared" si="24"/>
        <v>10</v>
      </c>
      <c r="P91" s="114">
        <f t="shared" si="21"/>
        <v>0</v>
      </c>
      <c r="Q91" s="114">
        <f t="shared" si="14"/>
        <v>0</v>
      </c>
      <c r="R91" s="114">
        <f t="shared" si="22"/>
        <v>0</v>
      </c>
      <c r="S91" s="114">
        <f t="shared" si="15"/>
        <v>0</v>
      </c>
      <c r="T91" s="114">
        <f t="shared" si="16"/>
        <v>0</v>
      </c>
      <c r="U91" s="114">
        <f t="shared" si="23"/>
        <v>33</v>
      </c>
      <c r="V91" s="114">
        <f t="shared" si="17"/>
        <v>0</v>
      </c>
    </row>
    <row r="92" spans="1:22" ht="60">
      <c r="A92" s="10" t="str">
        <f>Questions!$A92</f>
        <v>AAAI-15</v>
      </c>
      <c r="B92" s="10" t="str">
        <f t="shared" si="18"/>
        <v>AAAI</v>
      </c>
      <c r="C92" s="10" t="str">
        <f>VLOOKUP($A92,Questions!$A$3:$L$333,2,0)&amp;""</f>
        <v>Does your solution support any of the following web SSO standards: SAML2 (with redirect flow), OIDC, CAS, or other?</v>
      </c>
      <c r="D92" s="10" t="str">
        <f>VLOOKUP($A92,Questions!$A$3:$L$333,11,0)&amp;""</f>
        <v/>
      </c>
      <c r="E92" s="10" t="str">
        <f>VLOOKUP($A92,Questions!$A$3:$L$333,12,0)&amp;""</f>
        <v>Product</v>
      </c>
      <c r="F92" s="10" t="str">
        <f>VLOOKUP($A92,'Institution Evaluation'!$A$56:$K$346,3,0)&amp;""</f>
        <v>no</v>
      </c>
      <c r="G92" s="10" t="str">
        <f>VLOOKUP($A92,'Institution Evaluation'!$A$56:$K$346,7,0)&amp;""</f>
        <v>Yes</v>
      </c>
      <c r="H92" s="10" t="str">
        <f>VLOOKUP($A92,'Institution Evaluation'!$A$56:$K$346,8,0)&amp;""</f>
        <v/>
      </c>
      <c r="I92" s="10" t="str">
        <f>VLOOKUP($A92,'Institution Evaluation'!$A$56:$K$346,9,0)&amp;""</f>
        <v>Minor Importance</v>
      </c>
      <c r="J92" s="10" t="str">
        <f>VLOOKUP($A92,'Institution Evaluation'!$A$56:$K$346,10,0)&amp;""</f>
        <v/>
      </c>
      <c r="K92" s="10">
        <f t="shared" si="19"/>
        <v>5</v>
      </c>
      <c r="L92" s="114">
        <f>IF($E92="Not Scored", "N/A",IF(AND($D92='Auto Responses'!$J$27,$H92=""),"N/A",IF(AND($D92='Auto Responses'!$J$27,$H92='Auto Responses'!$J$7),1,IF(AND($D92='Auto Responses'!$J$27,$H92='Auto Responses'!$J$8),0,IF(OR($F92=$G92,$H92='Auto Responses'!$J$7),1,0)))))</f>
        <v>0</v>
      </c>
      <c r="M92" s="10" t="str">
        <f>VLOOKUP($A92,'Institution Evaluation'!$A$56:$K$346,10,0)&amp;""</f>
        <v/>
      </c>
      <c r="N92" s="10">
        <f t="shared" si="20"/>
        <v>0</v>
      </c>
      <c r="O92" s="114">
        <f t="shared" si="24"/>
        <v>5</v>
      </c>
      <c r="P92" s="114">
        <f t="shared" si="21"/>
        <v>0</v>
      </c>
      <c r="Q92" s="114">
        <f t="shared" si="14"/>
        <v>0</v>
      </c>
      <c r="R92" s="114">
        <f t="shared" si="22"/>
        <v>0</v>
      </c>
      <c r="S92" s="114">
        <f t="shared" si="15"/>
        <v>0</v>
      </c>
      <c r="T92" s="114">
        <f t="shared" si="16"/>
        <v>0</v>
      </c>
      <c r="U92" s="114">
        <f t="shared" si="23"/>
        <v>33</v>
      </c>
      <c r="V92" s="114">
        <f t="shared" si="17"/>
        <v>0</v>
      </c>
    </row>
    <row r="93" spans="1:22" ht="60">
      <c r="A93" s="10" t="str">
        <f>Questions!$A93</f>
        <v>AAAI-16</v>
      </c>
      <c r="B93" s="10" t="str">
        <f t="shared" si="18"/>
        <v>AAAI</v>
      </c>
      <c r="C93" s="10" t="str">
        <f>VLOOKUP($A93,Questions!$A$3:$L$333,2,0)&amp;""</f>
        <v>Do you support differentiation between email address and user identifier?</v>
      </c>
      <c r="D93" s="10" t="str">
        <f>VLOOKUP($A93,Questions!$A$3:$L$333,11,0)&amp;""</f>
        <v/>
      </c>
      <c r="E93" s="10" t="str">
        <f>VLOOKUP($A93,Questions!$A$3:$L$333,12,0)&amp;""</f>
        <v>Product</v>
      </c>
      <c r="F93" s="10" t="str">
        <f>VLOOKUP($A93,'Institution Evaluation'!$A$56:$K$346,3,0)&amp;""</f>
        <v>yes</v>
      </c>
      <c r="G93" s="10" t="str">
        <f>VLOOKUP($A93,'Institution Evaluation'!$A$56:$K$346,7,0)&amp;""</f>
        <v>Yes</v>
      </c>
      <c r="H93" s="10" t="str">
        <f>VLOOKUP($A93,'Institution Evaluation'!$A$56:$K$346,8,0)&amp;""</f>
        <v/>
      </c>
      <c r="I93" s="10" t="str">
        <f>VLOOKUP($A93,'Institution Evaluation'!$A$56:$K$346,9,0)&amp;""</f>
        <v>Minor Importance</v>
      </c>
      <c r="J93" s="10" t="str">
        <f>VLOOKUP($A93,'Institution Evaluation'!$A$56:$K$346,10,0)&amp;""</f>
        <v/>
      </c>
      <c r="K93" s="10">
        <f t="shared" si="19"/>
        <v>5</v>
      </c>
      <c r="L93" s="114">
        <f>IF($E93="Not Scored", "N/A",IF(AND($D93='Auto Responses'!$J$27,$H93=""),"N/A",IF(AND($D93='Auto Responses'!$J$27,$H93='Auto Responses'!$J$7),1,IF(AND($D93='Auto Responses'!$J$27,$H93='Auto Responses'!$J$8),0,IF(OR($F93=$G93,$H93='Auto Responses'!$J$7),1,0)))))</f>
        <v>1</v>
      </c>
      <c r="M93" s="10" t="str">
        <f>VLOOKUP($A93,'Institution Evaluation'!$A$56:$K$346,10,0)&amp;""</f>
        <v/>
      </c>
      <c r="N93" s="10">
        <f t="shared" si="20"/>
        <v>0</v>
      </c>
      <c r="O93" s="114">
        <f t="shared" si="24"/>
        <v>5</v>
      </c>
      <c r="P93" s="114">
        <f t="shared" si="21"/>
        <v>5</v>
      </c>
      <c r="Q93" s="114">
        <f t="shared" si="14"/>
        <v>0</v>
      </c>
      <c r="R93" s="114">
        <f t="shared" si="22"/>
        <v>0</v>
      </c>
      <c r="S93" s="114">
        <f t="shared" si="15"/>
        <v>0</v>
      </c>
      <c r="T93" s="114">
        <f t="shared" si="16"/>
        <v>0</v>
      </c>
      <c r="U93" s="114">
        <f t="shared" si="23"/>
        <v>33</v>
      </c>
      <c r="V93" s="114">
        <f t="shared" si="17"/>
        <v>0</v>
      </c>
    </row>
    <row r="94" spans="1:22" ht="60">
      <c r="A94" s="10" t="str">
        <f>Questions!$A94</f>
        <v>AAAI-17</v>
      </c>
      <c r="B94" s="10" t="str">
        <f t="shared" si="18"/>
        <v>AAAI</v>
      </c>
      <c r="C94" s="10" t="str">
        <f>VLOOKUP($A94,Questions!$A$3:$L$333,2,0)&amp;""</f>
        <v>For customers not using SSO, does your application and/or user frontend/portal support multifactor authentication (e.g., Duo, Google Authenticator, OTP, etc.)?</v>
      </c>
      <c r="D94" s="10" t="str">
        <f>VLOOKUP($A94,Questions!$A$3:$L$333,11,0)&amp;""</f>
        <v/>
      </c>
      <c r="E94" s="10" t="str">
        <f>VLOOKUP($A94,Questions!$A$3:$L$333,12,0)&amp;""</f>
        <v>Product</v>
      </c>
      <c r="F94" s="10" t="str">
        <f>VLOOKUP($A94,'Institution Evaluation'!$A$56:$K$346,3,0)&amp;""</f>
        <v>no</v>
      </c>
      <c r="G94" s="10" t="str">
        <f>VLOOKUP($A94,'Institution Evaluation'!$A$56:$K$346,7,0)&amp;""</f>
        <v>Yes</v>
      </c>
      <c r="H94" s="10" t="str">
        <f>VLOOKUP($A94,'Institution Evaluation'!$A$56:$K$346,8,0)&amp;""</f>
        <v/>
      </c>
      <c r="I94" s="10" t="str">
        <f>VLOOKUP($A94,'Institution Evaluation'!$A$56:$K$346,9,0)&amp;""</f>
        <v>Minor Importance</v>
      </c>
      <c r="J94" s="10" t="str">
        <f>VLOOKUP($A94,'Institution Evaluation'!$A$56:$K$346,10,0)&amp;""</f>
        <v/>
      </c>
      <c r="K94" s="10">
        <f t="shared" si="19"/>
        <v>5</v>
      </c>
      <c r="L94" s="114">
        <f>IF($E94="Not Scored", "N/A",IF(AND($D94='Auto Responses'!$J$27,$H94=""),"N/A",IF(AND($D94='Auto Responses'!$J$27,$H94='Auto Responses'!$J$7),1,IF(AND($D94='Auto Responses'!$J$27,$H94='Auto Responses'!$J$8),0,IF(OR($F94=$G94,$H94='Auto Responses'!$J$7),1,0)))))</f>
        <v>0</v>
      </c>
      <c r="M94" s="10" t="str">
        <f>VLOOKUP($A94,'Institution Evaluation'!$A$56:$K$346,10,0)&amp;""</f>
        <v/>
      </c>
      <c r="N94" s="10">
        <f t="shared" si="20"/>
        <v>0</v>
      </c>
      <c r="O94" s="114">
        <f t="shared" si="24"/>
        <v>5</v>
      </c>
      <c r="P94" s="114">
        <f t="shared" si="21"/>
        <v>0</v>
      </c>
      <c r="Q94" s="114">
        <f t="shared" si="14"/>
        <v>0</v>
      </c>
      <c r="R94" s="114">
        <f t="shared" si="22"/>
        <v>0</v>
      </c>
      <c r="S94" s="114">
        <f t="shared" si="15"/>
        <v>0</v>
      </c>
      <c r="T94" s="114">
        <f t="shared" si="16"/>
        <v>0</v>
      </c>
      <c r="U94" s="114">
        <f t="shared" si="23"/>
        <v>33</v>
      </c>
      <c r="V94" s="114">
        <f t="shared" si="17"/>
        <v>0</v>
      </c>
    </row>
    <row r="95" spans="1:22" ht="60">
      <c r="A95" s="10" t="str">
        <f>Questions!$A95</f>
        <v>AAAI-18</v>
      </c>
      <c r="B95" s="10" t="str">
        <f t="shared" si="18"/>
        <v>AAAI</v>
      </c>
      <c r="C95" s="10" t="str">
        <f>VLOOKUP($A95,Questions!$A$3:$L$333,2,0)&amp;""</f>
        <v>Does your application automatically lock the session or log out an account after a period of inactivity?</v>
      </c>
      <c r="D95" s="10" t="str">
        <f>VLOOKUP($A95,Questions!$A$3:$L$333,11,0)&amp;""</f>
        <v/>
      </c>
      <c r="E95" s="10" t="str">
        <f>VLOOKUP($A95,Questions!$A$3:$L$333,12,0)&amp;""</f>
        <v>Product</v>
      </c>
      <c r="F95" s="10" t="str">
        <f>VLOOKUP($A95,'Institution Evaluation'!$A$56:$K$346,3,0)&amp;""</f>
        <v>yes</v>
      </c>
      <c r="G95" s="10" t="str">
        <f>VLOOKUP($A95,'Institution Evaluation'!$A$56:$K$346,7,0)&amp;""</f>
        <v>Yes</v>
      </c>
      <c r="H95" s="10" t="str">
        <f>VLOOKUP($A95,'Institution Evaluation'!$A$56:$K$346,8,0)&amp;""</f>
        <v/>
      </c>
      <c r="I95" s="10" t="str">
        <f>VLOOKUP($A95,'Institution Evaluation'!$A$56:$K$346,9,0)&amp;""</f>
        <v>Minor Importance</v>
      </c>
      <c r="J95" s="10" t="str">
        <f>VLOOKUP($A95,'Institution Evaluation'!$A$56:$K$346,10,0)&amp;""</f>
        <v/>
      </c>
      <c r="K95" s="10">
        <f t="shared" si="19"/>
        <v>5</v>
      </c>
      <c r="L95" s="114">
        <f>IF($E95="Not Scored", "N/A",IF(AND($D95='Auto Responses'!$J$27,$H95=""),"N/A",IF(AND($D95='Auto Responses'!$J$27,$H95='Auto Responses'!$J$7),1,IF(AND($D95='Auto Responses'!$J$27,$H95='Auto Responses'!$J$8),0,IF(OR($F95=$G95,$H95='Auto Responses'!$J$7),1,0)))))</f>
        <v>1</v>
      </c>
      <c r="M95" s="10" t="str">
        <f>VLOOKUP($A95,'Institution Evaluation'!$A$56:$K$346,10,0)&amp;""</f>
        <v/>
      </c>
      <c r="N95" s="10">
        <f t="shared" si="20"/>
        <v>0</v>
      </c>
      <c r="O95" s="114">
        <f t="shared" si="24"/>
        <v>5</v>
      </c>
      <c r="P95" s="114">
        <f t="shared" si="21"/>
        <v>5</v>
      </c>
      <c r="Q95" s="114">
        <f t="shared" si="14"/>
        <v>0</v>
      </c>
      <c r="R95" s="114">
        <f t="shared" si="22"/>
        <v>0</v>
      </c>
      <c r="S95" s="114">
        <f t="shared" si="15"/>
        <v>0</v>
      </c>
      <c r="T95" s="114">
        <f t="shared" si="16"/>
        <v>0</v>
      </c>
      <c r="U95" s="114">
        <f t="shared" si="23"/>
        <v>33</v>
      </c>
      <c r="V95" s="114">
        <f t="shared" si="17"/>
        <v>0</v>
      </c>
    </row>
    <row r="96" spans="1:22" ht="60">
      <c r="A96" s="10" t="str">
        <f>Questions!$A96</f>
        <v>CHNG-01</v>
      </c>
      <c r="B96" s="10" t="str">
        <f t="shared" si="18"/>
        <v>CHNG</v>
      </c>
      <c r="C96" s="10" t="str">
        <f>VLOOKUP($A96,Questions!$A$3:$L$333,2,0)&amp;""</f>
        <v>Will the institution be notified of major changes to your environment that could impact the institution's security posture?*</v>
      </c>
      <c r="D96" s="10" t="str">
        <f>VLOOKUP($A96,Questions!$A$3:$L$333,11,0)&amp;""</f>
        <v/>
      </c>
      <c r="E96" s="10" t="str">
        <f>VLOOKUP($A96,Questions!$A$3:$L$333,12,0)&amp;""</f>
        <v>Organization</v>
      </c>
      <c r="F96" s="10" t="str">
        <f>VLOOKUP($A96,'Institution Evaluation'!$A$56:$K$346,3,0)&amp;""</f>
        <v>yes</v>
      </c>
      <c r="G96" s="10" t="str">
        <f>VLOOKUP($A96,'Institution Evaluation'!$A$56:$K$346,7,0)&amp;""</f>
        <v>Yes</v>
      </c>
      <c r="H96" s="10" t="str">
        <f>VLOOKUP($A96,'Institution Evaluation'!$A$56:$K$346,8,0)&amp;""</f>
        <v/>
      </c>
      <c r="I96" s="10" t="str">
        <f>VLOOKUP($A96,'Institution Evaluation'!$A$56:$K$346,9,0)&amp;""</f>
        <v>Critical Importance</v>
      </c>
      <c r="J96" s="10" t="str">
        <f>VLOOKUP($A96,'Institution Evaluation'!$A$56:$K$346,10,0)&amp;""</f>
        <v/>
      </c>
      <c r="K96" s="10">
        <f t="shared" si="19"/>
        <v>20</v>
      </c>
      <c r="L96" s="114">
        <f>IF($E96="Not Scored", "N/A",IF(AND($D96='Auto Responses'!$J$27,$H96=""),"N/A",IF(AND($D96='Auto Responses'!$J$27,$H96='Auto Responses'!$J$7),1,IF(AND($D96='Auto Responses'!$J$27,$H96='Auto Responses'!$J$8),0,IF(OR($F96=$G96,$H96='Auto Responses'!$J$7),1,0)))))</f>
        <v>1</v>
      </c>
      <c r="M96" s="10" t="str">
        <f>VLOOKUP($A96,'Institution Evaluation'!$A$56:$K$346,10,0)&amp;""</f>
        <v/>
      </c>
      <c r="N96" s="10">
        <f t="shared" si="20"/>
        <v>1</v>
      </c>
      <c r="O96" s="114">
        <f t="shared" si="24"/>
        <v>20</v>
      </c>
      <c r="P96" s="114">
        <f t="shared" si="21"/>
        <v>20</v>
      </c>
      <c r="Q96" s="114">
        <f t="shared" si="14"/>
        <v>0</v>
      </c>
      <c r="R96" s="114">
        <f t="shared" si="22"/>
        <v>0</v>
      </c>
      <c r="S96" s="114">
        <f t="shared" si="15"/>
        <v>0</v>
      </c>
      <c r="T96" s="114">
        <f t="shared" si="16"/>
        <v>1</v>
      </c>
      <c r="U96" s="114">
        <f t="shared" si="23"/>
        <v>34</v>
      </c>
      <c r="V96" s="114">
        <f t="shared" si="17"/>
        <v>34</v>
      </c>
    </row>
    <row r="97" spans="1:22" ht="60">
      <c r="A97" s="10" t="str">
        <f>Questions!$A97</f>
        <v>CHNG-02</v>
      </c>
      <c r="B97" s="10" t="str">
        <f t="shared" si="18"/>
        <v>CHNG</v>
      </c>
      <c r="C97" s="10" t="str">
        <f>VLOOKUP($A97,Questions!$A$3:$L$333,2,0)&amp;""</f>
        <v>Does the system support client customizations from one release to another?*</v>
      </c>
      <c r="D97" s="10" t="str">
        <f>VLOOKUP($A97,Questions!$A$3:$L$333,11,0)&amp;""</f>
        <v/>
      </c>
      <c r="E97" s="10" t="str">
        <f>VLOOKUP($A97,Questions!$A$3:$L$333,12,0)&amp;""</f>
        <v>Organization</v>
      </c>
      <c r="F97" s="10" t="str">
        <f>VLOOKUP($A97,'Institution Evaluation'!$A$56:$K$346,3,0)&amp;""</f>
        <v>yes</v>
      </c>
      <c r="G97" s="10" t="str">
        <f>VLOOKUP($A97,'Institution Evaluation'!$A$56:$K$346,7,0)&amp;""</f>
        <v>Yes</v>
      </c>
      <c r="H97" s="10" t="str">
        <f>VLOOKUP($A97,'Institution Evaluation'!$A$56:$K$346,8,0)&amp;""</f>
        <v/>
      </c>
      <c r="I97" s="10" t="str">
        <f>VLOOKUP($A97,'Institution Evaluation'!$A$56:$K$346,9,0)&amp;""</f>
        <v>Critical Importance</v>
      </c>
      <c r="J97" s="10" t="str">
        <f>VLOOKUP($A97,'Institution Evaluation'!$A$56:$K$346,10,0)&amp;""</f>
        <v/>
      </c>
      <c r="K97" s="10">
        <f t="shared" si="19"/>
        <v>20</v>
      </c>
      <c r="L97" s="114">
        <f>IF($E97="Not Scored", "N/A",IF(AND($D97='Auto Responses'!$J$27,$H97=""),"N/A",IF(AND($D97='Auto Responses'!$J$27,$H97='Auto Responses'!$J$7),1,IF(AND($D97='Auto Responses'!$J$27,$H97='Auto Responses'!$J$8),0,IF(OR($F97=$G97,$H97='Auto Responses'!$J$7),1,0)))))</f>
        <v>1</v>
      </c>
      <c r="M97" s="10" t="str">
        <f>VLOOKUP($A97,'Institution Evaluation'!$A$56:$K$346,10,0)&amp;""</f>
        <v/>
      </c>
      <c r="N97" s="10">
        <f t="shared" si="20"/>
        <v>1</v>
      </c>
      <c r="O97" s="114">
        <f>IF(OR($E97="Not Scored",$F97="N/A"),"N/A",IF($J97="",$K97,IF($J97="Minor Importance",5,IF($J97="Standard Importance",10,IF($J97="Critical Importance",20,0)))))</f>
        <v>20</v>
      </c>
      <c r="P97" s="114">
        <f t="shared" si="21"/>
        <v>20</v>
      </c>
      <c r="Q97" s="114">
        <f t="shared" si="14"/>
        <v>0</v>
      </c>
      <c r="R97" s="114">
        <f t="shared" si="22"/>
        <v>0</v>
      </c>
      <c r="S97" s="114">
        <f t="shared" si="15"/>
        <v>0</v>
      </c>
      <c r="T97" s="114">
        <f t="shared" si="16"/>
        <v>1</v>
      </c>
      <c r="U97" s="114">
        <f t="shared" si="23"/>
        <v>35</v>
      </c>
      <c r="V97" s="114">
        <f t="shared" si="17"/>
        <v>35</v>
      </c>
    </row>
    <row r="98" spans="1:22" ht="60">
      <c r="A98" s="10" t="str">
        <f>Questions!$A98</f>
        <v>CHNG-03</v>
      </c>
      <c r="B98" s="10" t="str">
        <f t="shared" si="18"/>
        <v>CHNG</v>
      </c>
      <c r="C98" s="10" t="str">
        <f>VLOOKUP($A98,Questions!$A$3:$L$333,2,0)&amp;""</f>
        <v>Do you have an implemented system configuration management process (e.g.,secure "gold" images, etc.)?*</v>
      </c>
      <c r="D98" s="10" t="str">
        <f>VLOOKUP($A98,Questions!$A$3:$L$333,11,0)&amp;""</f>
        <v/>
      </c>
      <c r="E98" s="10" t="str">
        <f>VLOOKUP($A98,Questions!$A$3:$L$333,12,0)&amp;""</f>
        <v>Organization</v>
      </c>
      <c r="F98" s="10" t="str">
        <f>VLOOKUP($A98,'Institution Evaluation'!$A$56:$K$346,3,0)&amp;""</f>
        <v>yes</v>
      </c>
      <c r="G98" s="10" t="str">
        <f>VLOOKUP($A98,'Institution Evaluation'!$A$56:$K$346,7,0)&amp;""</f>
        <v>Yes</v>
      </c>
      <c r="H98" s="10" t="str">
        <f>VLOOKUP($A98,'Institution Evaluation'!$A$56:$K$346,8,0)&amp;""</f>
        <v/>
      </c>
      <c r="I98" s="10" t="str">
        <f>VLOOKUP($A98,'Institution Evaluation'!$A$56:$K$346,9,0)&amp;""</f>
        <v>Critical Importance</v>
      </c>
      <c r="J98" s="10" t="str">
        <f>VLOOKUP($A98,'Institution Evaluation'!$A$56:$K$346,10,0)&amp;""</f>
        <v/>
      </c>
      <c r="K98" s="10">
        <f t="shared" si="19"/>
        <v>20</v>
      </c>
      <c r="L98" s="114">
        <f>IF($E98="Not Scored", "N/A",IF(AND($D98='Auto Responses'!$J$27,$H98=""),"N/A",IF(AND($D98='Auto Responses'!$J$27,$H98='Auto Responses'!$J$7),1,IF(AND($D98='Auto Responses'!$J$27,$H98='Auto Responses'!$J$8),0,IF(OR($F98=$G98,$H98='Auto Responses'!$J$7),1,0)))))</f>
        <v>1</v>
      </c>
      <c r="M98" s="10" t="str">
        <f>VLOOKUP($A98,'Institution Evaluation'!$A$56:$K$346,10,0)&amp;""</f>
        <v/>
      </c>
      <c r="N98" s="10">
        <f t="shared" si="20"/>
        <v>1</v>
      </c>
      <c r="O98" s="114">
        <f>IF(OR($E98="Not Scored",$F98="N/A"),"N/A",IF($J98="",$K98,IF($J98="Minor Importance",5,IF($J98="Standard Importance",10,IF($J98="Critical Importance",20,0)))))</f>
        <v>20</v>
      </c>
      <c r="P98" s="114">
        <f t="shared" si="21"/>
        <v>20</v>
      </c>
      <c r="Q98" s="114">
        <f t="shared" si="14"/>
        <v>0</v>
      </c>
      <c r="R98" s="114">
        <f t="shared" si="22"/>
        <v>0</v>
      </c>
      <c r="S98" s="114">
        <f t="shared" si="15"/>
        <v>0</v>
      </c>
      <c r="T98" s="114">
        <f t="shared" si="16"/>
        <v>1</v>
      </c>
      <c r="U98" s="114">
        <f t="shared" si="23"/>
        <v>36</v>
      </c>
      <c r="V98" s="114">
        <f t="shared" si="17"/>
        <v>36</v>
      </c>
    </row>
    <row r="99" spans="1:22" ht="60">
      <c r="A99" s="10" t="str">
        <f>Questions!$A99</f>
        <v>CHNG-04</v>
      </c>
      <c r="B99" s="10" t="str">
        <f t="shared" si="18"/>
        <v>CHNG</v>
      </c>
      <c r="C99" s="10" t="str">
        <f>VLOOKUP($A99,Questions!$A$3:$L$333,2,0)&amp;""</f>
        <v>Do you have a documented change management process?</v>
      </c>
      <c r="D99" s="10" t="str">
        <f>VLOOKUP($A99,Questions!$A$3:$L$333,11,0)&amp;""</f>
        <v/>
      </c>
      <c r="E99" s="10" t="str">
        <f>VLOOKUP($A99,Questions!$A$3:$L$333,12,0)&amp;""</f>
        <v>Organization</v>
      </c>
      <c r="F99" s="10" t="str">
        <f>VLOOKUP($A99,'Institution Evaluation'!$A$56:$K$346,3,0)&amp;""</f>
        <v>yes</v>
      </c>
      <c r="G99" s="10" t="str">
        <f>VLOOKUP($A99,'Institution Evaluation'!$A$56:$K$346,7,0)&amp;""</f>
        <v>Yes</v>
      </c>
      <c r="H99" s="10" t="str">
        <f>VLOOKUP($A99,'Institution Evaluation'!$A$56:$K$346,8,0)&amp;""</f>
        <v/>
      </c>
      <c r="I99" s="10" t="str">
        <f>VLOOKUP($A99,'Institution Evaluation'!$A$56:$K$346,9,0)&amp;""</f>
        <v>Standard Importance</v>
      </c>
      <c r="J99" s="10" t="str">
        <f>VLOOKUP($A99,'Institution Evaluation'!$A$56:$K$346,10,0)&amp;""</f>
        <v/>
      </c>
      <c r="K99" s="10">
        <f t="shared" si="19"/>
        <v>10</v>
      </c>
      <c r="L99" s="114">
        <f>IF($E99="Not Scored", "N/A",IF(AND($D99='Auto Responses'!$J$27,$H99=""),"N/A",IF(AND($D99='Auto Responses'!$J$27,$H99='Auto Responses'!$J$7),1,IF(AND($D99='Auto Responses'!$J$27,$H99='Auto Responses'!$J$8),0,IF(OR($F99=$G99,$H99='Auto Responses'!$J$7),1,0)))))</f>
        <v>1</v>
      </c>
      <c r="M99" s="10" t="str">
        <f>VLOOKUP($A99,'Institution Evaluation'!$A$56:$K$346,10,0)&amp;""</f>
        <v/>
      </c>
      <c r="N99" s="10">
        <f t="shared" si="20"/>
        <v>0</v>
      </c>
      <c r="O99" s="114">
        <f t="shared" si="24"/>
        <v>10</v>
      </c>
      <c r="P99" s="114">
        <f t="shared" ref="P99:P130" si="25">IF(OR($O99="N/A",$L99="N/A"),"N/A",$O99*$L99)</f>
        <v>10</v>
      </c>
      <c r="Q99" s="114">
        <f t="shared" si="14"/>
        <v>0</v>
      </c>
      <c r="R99" s="114">
        <f t="shared" si="22"/>
        <v>0</v>
      </c>
      <c r="S99" s="114">
        <f t="shared" si="15"/>
        <v>0</v>
      </c>
      <c r="T99" s="114">
        <f t="shared" si="16"/>
        <v>0</v>
      </c>
      <c r="U99" s="114">
        <f t="shared" si="23"/>
        <v>36</v>
      </c>
      <c r="V99" s="114">
        <f t="shared" si="17"/>
        <v>0</v>
      </c>
    </row>
    <row r="100" spans="1:22" ht="60">
      <c r="A100" s="10" t="str">
        <f>Questions!$A100</f>
        <v>CHNG-05</v>
      </c>
      <c r="B100" s="10" t="str">
        <f t="shared" si="18"/>
        <v>CHNG</v>
      </c>
      <c r="C100" s="10" t="str">
        <f>VLOOKUP($A100,Questions!$A$3:$L$333,2,0)&amp;""</f>
        <v>Does your change management process minimally include authorization, impact analysis, testing, and validation before moving changes to production?</v>
      </c>
      <c r="D100" s="10" t="str">
        <f>VLOOKUP($A100,Questions!$A$3:$L$333,11,0)&amp;""</f>
        <v/>
      </c>
      <c r="E100" s="10" t="str">
        <f>VLOOKUP($A100,Questions!$A$3:$L$333,12,0)&amp;""</f>
        <v>Organization</v>
      </c>
      <c r="F100" s="10" t="str">
        <f>VLOOKUP($A100,'Institution Evaluation'!$A$56:$K$346,3,0)&amp;""</f>
        <v>yes</v>
      </c>
      <c r="G100" s="10" t="str">
        <f>VLOOKUP($A100,'Institution Evaluation'!$A$56:$K$346,7,0)&amp;""</f>
        <v>Yes</v>
      </c>
      <c r="H100" s="10" t="str">
        <f>VLOOKUP($A100,'Institution Evaluation'!$A$56:$K$346,8,0)&amp;""</f>
        <v/>
      </c>
      <c r="I100" s="10" t="str">
        <f>VLOOKUP($A100,'Institution Evaluation'!$A$56:$K$346,9,0)&amp;""</f>
        <v>Standard Importance</v>
      </c>
      <c r="J100" s="10" t="str">
        <f>VLOOKUP($A100,'Institution Evaluation'!$A$56:$K$346,10,0)&amp;""</f>
        <v/>
      </c>
      <c r="K100" s="10">
        <f t="shared" si="19"/>
        <v>10</v>
      </c>
      <c r="L100" s="114">
        <f>IF($E100="Not Scored", "N/A",IF(AND($D100='Auto Responses'!$J$27,$H100=""),"N/A",IF(AND($D100='Auto Responses'!$J$27,$H100='Auto Responses'!$J$7),1,IF(AND($D100='Auto Responses'!$J$27,$H100='Auto Responses'!$J$8),0,IF(OR($F100=$G100,$H100='Auto Responses'!$J$7),1,0)))))</f>
        <v>1</v>
      </c>
      <c r="M100" s="10" t="str">
        <f>VLOOKUP($A100,'Institution Evaluation'!$A$56:$K$346,10,0)&amp;""</f>
        <v/>
      </c>
      <c r="N100" s="10">
        <f t="shared" si="20"/>
        <v>0</v>
      </c>
      <c r="O100" s="114">
        <f t="shared" si="24"/>
        <v>10</v>
      </c>
      <c r="P100" s="114">
        <f t="shared" si="25"/>
        <v>10</v>
      </c>
      <c r="Q100" s="114">
        <f t="shared" si="14"/>
        <v>0</v>
      </c>
      <c r="R100" s="114">
        <f t="shared" si="22"/>
        <v>0</v>
      </c>
      <c r="S100" s="114">
        <f t="shared" si="15"/>
        <v>0</v>
      </c>
      <c r="T100" s="114">
        <f t="shared" si="16"/>
        <v>0</v>
      </c>
      <c r="U100" s="114">
        <f t="shared" si="23"/>
        <v>36</v>
      </c>
      <c r="V100" s="114">
        <f t="shared" si="17"/>
        <v>0</v>
      </c>
    </row>
    <row r="101" spans="1:22" ht="60">
      <c r="A101" s="10" t="str">
        <f>Questions!$A101</f>
        <v>CHNG-06</v>
      </c>
      <c r="B101" s="10" t="str">
        <f t="shared" si="18"/>
        <v>CHNG</v>
      </c>
      <c r="C101" s="10" t="str">
        <f>VLOOKUP($A101,Questions!$A$3:$L$333,2,0)&amp;""</f>
        <v>Does your change management process verify that all required third-party libraries and dependencies are still supported with each major change?</v>
      </c>
      <c r="D101" s="10" t="str">
        <f>VLOOKUP($A101,Questions!$A$3:$L$333,11,0)&amp;""</f>
        <v/>
      </c>
      <c r="E101" s="10" t="str">
        <f>VLOOKUP($A101,Questions!$A$3:$L$333,12,0)&amp;""</f>
        <v>Organization</v>
      </c>
      <c r="F101" s="10" t="str">
        <f>VLOOKUP($A101,'Institution Evaluation'!$A$56:$K$346,3,0)&amp;""</f>
        <v>yes</v>
      </c>
      <c r="G101" s="10" t="str">
        <f>VLOOKUP($A101,'Institution Evaluation'!$A$56:$K$346,7,0)&amp;""</f>
        <v>Yes</v>
      </c>
      <c r="H101" s="10" t="str">
        <f>VLOOKUP($A101,'Institution Evaluation'!$A$56:$K$346,8,0)&amp;""</f>
        <v/>
      </c>
      <c r="I101" s="10" t="str">
        <f>VLOOKUP($A101,'Institution Evaluation'!$A$56:$K$346,9,0)&amp;""</f>
        <v>Standard Importance</v>
      </c>
      <c r="J101" s="10" t="str">
        <f>VLOOKUP($A101,'Institution Evaluation'!$A$56:$K$346,10,0)&amp;""</f>
        <v/>
      </c>
      <c r="K101" s="10">
        <f t="shared" si="19"/>
        <v>10</v>
      </c>
      <c r="L101" s="114">
        <f>IF($E101="Not Scored", "N/A",IF(AND($D101='Auto Responses'!$J$27,$H101=""),"N/A",IF(AND($D101='Auto Responses'!$J$27,$H101='Auto Responses'!$J$7),1,IF(AND($D101='Auto Responses'!$J$27,$H101='Auto Responses'!$J$8),0,IF(OR($F101=$G101,$H101='Auto Responses'!$J$7),1,0)))))</f>
        <v>1</v>
      </c>
      <c r="M101" s="10" t="str">
        <f>VLOOKUP($A101,'Institution Evaluation'!$A$56:$K$346,10,0)&amp;""</f>
        <v/>
      </c>
      <c r="N101" s="10">
        <f t="shared" si="20"/>
        <v>0</v>
      </c>
      <c r="O101" s="114">
        <f t="shared" si="24"/>
        <v>10</v>
      </c>
      <c r="P101" s="114">
        <f t="shared" si="25"/>
        <v>10</v>
      </c>
      <c r="Q101" s="114">
        <f t="shared" si="14"/>
        <v>0</v>
      </c>
      <c r="R101" s="114">
        <f t="shared" si="22"/>
        <v>0</v>
      </c>
      <c r="S101" s="114">
        <f t="shared" si="15"/>
        <v>0</v>
      </c>
      <c r="T101" s="114">
        <f t="shared" si="16"/>
        <v>0</v>
      </c>
      <c r="U101" s="114">
        <f t="shared" si="23"/>
        <v>36</v>
      </c>
      <c r="V101" s="114">
        <f t="shared" si="17"/>
        <v>0</v>
      </c>
    </row>
    <row r="102" spans="1:22" ht="60">
      <c r="A102" s="10" t="str">
        <f>Questions!$A102</f>
        <v>CHNG-07</v>
      </c>
      <c r="B102" s="10" t="str">
        <f t="shared" si="18"/>
        <v>CHNG</v>
      </c>
      <c r="C102" s="10" t="str">
        <f>VLOOKUP($A102,Questions!$A$3:$L$333,2,0)&amp;""</f>
        <v>Do you have policy and procedure, currently implemented, managing how critical patches are applied to all systems and applications?</v>
      </c>
      <c r="D102" s="10" t="str">
        <f>VLOOKUP($A102,Questions!$A$3:$L$333,11,0)&amp;""</f>
        <v/>
      </c>
      <c r="E102" s="10" t="str">
        <f>VLOOKUP($A102,Questions!$A$3:$L$333,12,0)&amp;""</f>
        <v>Organization</v>
      </c>
      <c r="F102" s="10" t="str">
        <f>VLOOKUP($A102,'Institution Evaluation'!$A$56:$K$346,3,0)&amp;""</f>
        <v>yes</v>
      </c>
      <c r="G102" s="10" t="str">
        <f>VLOOKUP($A102,'Institution Evaluation'!$A$56:$K$346,7,0)&amp;""</f>
        <v>Yes</v>
      </c>
      <c r="H102" s="10" t="str">
        <f>VLOOKUP($A102,'Institution Evaluation'!$A$56:$K$346,8,0)&amp;""</f>
        <v/>
      </c>
      <c r="I102" s="10" t="str">
        <f>VLOOKUP($A102,'Institution Evaluation'!$A$56:$K$346,9,0)&amp;""</f>
        <v>Standard Importance</v>
      </c>
      <c r="J102" s="10" t="str">
        <f>VLOOKUP($A102,'Institution Evaluation'!$A$56:$K$346,10,0)&amp;""</f>
        <v/>
      </c>
      <c r="K102" s="10">
        <f t="shared" si="19"/>
        <v>10</v>
      </c>
      <c r="L102" s="114">
        <f>IF($E102="Not Scored", "N/A",IF(AND($D102='Auto Responses'!$J$27,$H102=""),"N/A",IF(AND($D102='Auto Responses'!$J$27,$H102='Auto Responses'!$J$7),1,IF(AND($D102='Auto Responses'!$J$27,$H102='Auto Responses'!$J$8),0,IF(OR($F102=$G102,$H102='Auto Responses'!$J$7),1,0)))))</f>
        <v>1</v>
      </c>
      <c r="M102" s="10" t="str">
        <f>VLOOKUP($A102,'Institution Evaluation'!$A$56:$K$346,10,0)&amp;""</f>
        <v/>
      </c>
      <c r="N102" s="10">
        <f t="shared" si="20"/>
        <v>0</v>
      </c>
      <c r="O102" s="114">
        <f t="shared" si="24"/>
        <v>10</v>
      </c>
      <c r="P102" s="114">
        <f t="shared" si="25"/>
        <v>10</v>
      </c>
      <c r="Q102" s="114">
        <f t="shared" si="14"/>
        <v>0</v>
      </c>
      <c r="R102" s="114">
        <f t="shared" si="22"/>
        <v>0</v>
      </c>
      <c r="S102" s="114">
        <f t="shared" si="15"/>
        <v>0</v>
      </c>
      <c r="T102" s="114">
        <f t="shared" si="16"/>
        <v>0</v>
      </c>
      <c r="U102" s="114">
        <f t="shared" si="23"/>
        <v>36</v>
      </c>
      <c r="V102" s="114">
        <f t="shared" si="17"/>
        <v>0</v>
      </c>
    </row>
    <row r="103" spans="1:22" ht="60">
      <c r="A103" s="10" t="str">
        <f>Questions!$A103</f>
        <v>CHNG-08</v>
      </c>
      <c r="B103" s="10" t="str">
        <f t="shared" si="18"/>
        <v>CHNG</v>
      </c>
      <c r="C103" s="10" t="str">
        <f>VLOOKUP($A103,Questions!$A$3:$L$333,2,0)&amp;""</f>
        <v>Have you implemented policies and procedures that guide how security risks are mitigated until patches can be applied?</v>
      </c>
      <c r="D103" s="10" t="str">
        <f>VLOOKUP($A103,Questions!$A$3:$L$333,11,0)&amp;""</f>
        <v/>
      </c>
      <c r="E103" s="10" t="str">
        <f>VLOOKUP($A103,Questions!$A$3:$L$333,12,0)&amp;""</f>
        <v>Organization</v>
      </c>
      <c r="F103" s="10" t="str">
        <f>VLOOKUP($A103,'Institution Evaluation'!$A$56:$K$346,3,0)&amp;""</f>
        <v>yes</v>
      </c>
      <c r="G103" s="10" t="str">
        <f>VLOOKUP($A103,'Institution Evaluation'!$A$56:$K$346,7,0)&amp;""</f>
        <v>Yes</v>
      </c>
      <c r="H103" s="10" t="str">
        <f>VLOOKUP($A103,'Institution Evaluation'!$A$56:$K$346,8,0)&amp;""</f>
        <v/>
      </c>
      <c r="I103" s="10" t="str">
        <f>VLOOKUP($A103,'Institution Evaluation'!$A$56:$K$346,9,0)&amp;""</f>
        <v>Standard Importance</v>
      </c>
      <c r="J103" s="10" t="str">
        <f>VLOOKUP($A103,'Institution Evaluation'!$A$56:$K$346,10,0)&amp;""</f>
        <v/>
      </c>
      <c r="K103" s="10">
        <f t="shared" si="19"/>
        <v>10</v>
      </c>
      <c r="L103" s="114">
        <f>IF($E103="Not Scored", "N/A",IF(AND($D103='Auto Responses'!$J$27,$H103=""),"N/A",IF(AND($D103='Auto Responses'!$J$27,$H103='Auto Responses'!$J$7),1,IF(AND($D103='Auto Responses'!$J$27,$H103='Auto Responses'!$J$8),0,IF(OR($F103=$G103,$H103='Auto Responses'!$J$7),1,0)))))</f>
        <v>1</v>
      </c>
      <c r="M103" s="10" t="str">
        <f>VLOOKUP($A103,'Institution Evaluation'!$A$56:$K$346,10,0)&amp;""</f>
        <v/>
      </c>
      <c r="N103" s="10">
        <f t="shared" si="20"/>
        <v>0</v>
      </c>
      <c r="O103" s="114">
        <f t="shared" si="24"/>
        <v>10</v>
      </c>
      <c r="P103" s="114">
        <f t="shared" si="25"/>
        <v>10</v>
      </c>
      <c r="Q103" s="114">
        <f t="shared" si="14"/>
        <v>0</v>
      </c>
      <c r="R103" s="114">
        <f t="shared" si="22"/>
        <v>0</v>
      </c>
      <c r="S103" s="114">
        <f t="shared" si="15"/>
        <v>0</v>
      </c>
      <c r="T103" s="114">
        <f t="shared" si="16"/>
        <v>0</v>
      </c>
      <c r="U103" s="114">
        <f t="shared" si="23"/>
        <v>36</v>
      </c>
      <c r="V103" s="114">
        <f t="shared" si="17"/>
        <v>0</v>
      </c>
    </row>
    <row r="104" spans="1:22" ht="60">
      <c r="A104" s="10" t="str">
        <f>Questions!$A104</f>
        <v>CHNG-09</v>
      </c>
      <c r="B104" s="10" t="str">
        <f t="shared" si="18"/>
        <v>CHNG</v>
      </c>
      <c r="C104" s="10" t="str">
        <f>VLOOKUP($A104,Questions!$A$3:$L$333,2,0)&amp;""</f>
        <v>Do clients have the option to not participate in or postpone an upgrade to a new release?</v>
      </c>
      <c r="D104" s="10" t="str">
        <f>VLOOKUP($A104,Questions!$A$3:$L$333,11,0)&amp;""</f>
        <v/>
      </c>
      <c r="E104" s="10" t="str">
        <f>VLOOKUP($A104,Questions!$A$3:$L$333,12,0)&amp;""</f>
        <v>Organization</v>
      </c>
      <c r="F104" s="10" t="str">
        <f>VLOOKUP($A104,'Institution Evaluation'!$A$56:$K$346,3,0)&amp;""</f>
        <v>yes</v>
      </c>
      <c r="G104" s="10" t="str">
        <f>VLOOKUP($A104,'Institution Evaluation'!$A$56:$K$346,7,0)&amp;""</f>
        <v>Yes</v>
      </c>
      <c r="H104" s="10" t="str">
        <f>VLOOKUP($A104,'Institution Evaluation'!$A$56:$K$346,8,0)&amp;""</f>
        <v/>
      </c>
      <c r="I104" s="10" t="str">
        <f>VLOOKUP($A104,'Institution Evaluation'!$A$56:$K$346,9,0)&amp;""</f>
        <v>Minor Importance</v>
      </c>
      <c r="J104" s="10" t="str">
        <f>VLOOKUP($A104,'Institution Evaluation'!$A$56:$K$346,10,0)&amp;""</f>
        <v/>
      </c>
      <c r="K104" s="10">
        <f t="shared" si="19"/>
        <v>5</v>
      </c>
      <c r="L104" s="114">
        <f>IF($E104="Not Scored", "N/A",IF(AND($D104='Auto Responses'!$J$27,$H104=""),"N/A",IF(AND($D104='Auto Responses'!$J$27,$H104='Auto Responses'!$J$7),1,IF(AND($D104='Auto Responses'!$J$27,$H104='Auto Responses'!$J$8),0,IF(OR($F104=$G104,$H104='Auto Responses'!$J$7),1,0)))))</f>
        <v>1</v>
      </c>
      <c r="M104" s="10" t="str">
        <f>VLOOKUP($A104,'Institution Evaluation'!$A$56:$K$346,10,0)&amp;""</f>
        <v/>
      </c>
      <c r="N104" s="10">
        <f t="shared" si="20"/>
        <v>0</v>
      </c>
      <c r="O104" s="114">
        <f t="shared" si="24"/>
        <v>5</v>
      </c>
      <c r="P104" s="114">
        <f t="shared" si="25"/>
        <v>5</v>
      </c>
      <c r="Q104" s="114">
        <f t="shared" si="14"/>
        <v>0</v>
      </c>
      <c r="R104" s="114">
        <f t="shared" si="22"/>
        <v>0</v>
      </c>
      <c r="S104" s="114">
        <f t="shared" si="15"/>
        <v>0</v>
      </c>
      <c r="T104" s="114">
        <f t="shared" si="16"/>
        <v>0</v>
      </c>
      <c r="U104" s="114">
        <f t="shared" si="23"/>
        <v>36</v>
      </c>
      <c r="V104" s="114">
        <f t="shared" si="17"/>
        <v>0</v>
      </c>
    </row>
    <row r="105" spans="1:22" ht="60">
      <c r="A105" s="10" t="str">
        <f>Questions!$A105</f>
        <v>CHNG-10</v>
      </c>
      <c r="B105" s="10" t="str">
        <f t="shared" si="18"/>
        <v>CHNG</v>
      </c>
      <c r="C105" s="10" t="str">
        <f>VLOOKUP($A105,Questions!$A$3:$L$333,2,0)&amp;""</f>
        <v>Do you have a fully implemented solution support strategy that defines how many concurrent versions you support?</v>
      </c>
      <c r="D105" s="10" t="str">
        <f>VLOOKUP($A105,Questions!$A$3:$L$333,11,0)&amp;""</f>
        <v/>
      </c>
      <c r="E105" s="10" t="str">
        <f>VLOOKUP($A105,Questions!$A$3:$L$333,12,0)&amp;""</f>
        <v>Organization</v>
      </c>
      <c r="F105" s="10" t="str">
        <f>VLOOKUP($A105,'Institution Evaluation'!$A$56:$K$346,3,0)&amp;""</f>
        <v>yes</v>
      </c>
      <c r="G105" s="10" t="str">
        <f>VLOOKUP($A105,'Institution Evaluation'!$A$56:$K$346,7,0)&amp;""</f>
        <v>Yes</v>
      </c>
      <c r="H105" s="10" t="str">
        <f>VLOOKUP($A105,'Institution Evaluation'!$A$56:$K$346,8,0)&amp;""</f>
        <v/>
      </c>
      <c r="I105" s="10" t="str">
        <f>VLOOKUP($A105,'Institution Evaluation'!$A$56:$K$346,9,0)&amp;""</f>
        <v>Minor Importance</v>
      </c>
      <c r="J105" s="10" t="str">
        <f>VLOOKUP($A105,'Institution Evaluation'!$A$56:$K$346,10,0)&amp;""</f>
        <v/>
      </c>
      <c r="K105" s="10">
        <f t="shared" si="19"/>
        <v>5</v>
      </c>
      <c r="L105" s="114">
        <f>IF($E105="Not Scored", "N/A",IF(AND($D105='Auto Responses'!$J$27,$H105=""),"N/A",IF(AND($D105='Auto Responses'!$J$27,$H105='Auto Responses'!$J$7),1,IF(AND($D105='Auto Responses'!$J$27,$H105='Auto Responses'!$J$8),0,IF(OR($F105=$G105,$H105='Auto Responses'!$J$7),1,0)))))</f>
        <v>1</v>
      </c>
      <c r="M105" s="10" t="str">
        <f>VLOOKUP($A105,'Institution Evaluation'!$A$56:$K$346,10,0)&amp;""</f>
        <v/>
      </c>
      <c r="N105" s="10">
        <f t="shared" si="20"/>
        <v>0</v>
      </c>
      <c r="O105" s="114">
        <f t="shared" si="24"/>
        <v>5</v>
      </c>
      <c r="P105" s="114">
        <f t="shared" si="25"/>
        <v>5</v>
      </c>
      <c r="Q105" s="114">
        <f t="shared" si="14"/>
        <v>0</v>
      </c>
      <c r="R105" s="114">
        <f t="shared" si="22"/>
        <v>0</v>
      </c>
      <c r="S105" s="114">
        <f t="shared" si="15"/>
        <v>0</v>
      </c>
      <c r="T105" s="114">
        <f t="shared" si="16"/>
        <v>0</v>
      </c>
      <c r="U105" s="114">
        <f t="shared" si="23"/>
        <v>36</v>
      </c>
      <c r="V105" s="114">
        <f t="shared" si="17"/>
        <v>0</v>
      </c>
    </row>
    <row r="106" spans="1:22" ht="60">
      <c r="A106" s="10" t="str">
        <f>Questions!$A106</f>
        <v>CHNG-11</v>
      </c>
      <c r="B106" s="10" t="str">
        <f t="shared" si="18"/>
        <v>CHNG</v>
      </c>
      <c r="C106" s="10" t="str">
        <f>VLOOKUP($A106,Questions!$A$3:$L$333,2,0)&amp;""</f>
        <v>Do you have a release schedule for product updates?</v>
      </c>
      <c r="D106" s="10" t="str">
        <f>VLOOKUP($A106,Questions!$A$3:$L$333,11,0)&amp;""</f>
        <v/>
      </c>
      <c r="E106" s="10" t="str">
        <f>VLOOKUP($A106,Questions!$A$3:$L$333,12,0)&amp;""</f>
        <v>Organization</v>
      </c>
      <c r="F106" s="10" t="str">
        <f>VLOOKUP($A106,'Institution Evaluation'!$A$56:$K$346,3,0)&amp;""</f>
        <v>Yes</v>
      </c>
      <c r="G106" s="10" t="str">
        <f>VLOOKUP($A106,'Institution Evaluation'!$A$56:$K$346,7,0)&amp;""</f>
        <v>Yes</v>
      </c>
      <c r="H106" s="10" t="str">
        <f>VLOOKUP($A106,'Institution Evaluation'!$A$56:$K$346,8,0)&amp;""</f>
        <v/>
      </c>
      <c r="I106" s="10" t="str">
        <f>VLOOKUP($A106,'Institution Evaluation'!$A$56:$K$346,9,0)&amp;""</f>
        <v>Minor Importance</v>
      </c>
      <c r="J106" s="10" t="str">
        <f>VLOOKUP($A106,'Institution Evaluation'!$A$56:$K$346,10,0)&amp;""</f>
        <v/>
      </c>
      <c r="K106" s="10">
        <f t="shared" si="19"/>
        <v>5</v>
      </c>
      <c r="L106" s="114">
        <f>IF($E106="Not Scored", "N/A",IF(AND($D106='Auto Responses'!$J$27,$H106=""),"N/A",IF(AND($D106='Auto Responses'!$J$27,$H106='Auto Responses'!$J$7),1,IF(AND($D106='Auto Responses'!$J$27,$H106='Auto Responses'!$J$8),0,IF(OR($F106=$G106,$H106='Auto Responses'!$J$7),1,0)))))</f>
        <v>1</v>
      </c>
      <c r="M106" s="10" t="str">
        <f>VLOOKUP($A106,'Institution Evaluation'!$A$56:$K$346,10,0)&amp;""</f>
        <v/>
      </c>
      <c r="N106" s="10">
        <f t="shared" si="20"/>
        <v>0</v>
      </c>
      <c r="O106" s="114">
        <f t="shared" si="24"/>
        <v>5</v>
      </c>
      <c r="P106" s="114">
        <f t="shared" si="25"/>
        <v>5</v>
      </c>
      <c r="Q106" s="114">
        <f t="shared" si="14"/>
        <v>0</v>
      </c>
      <c r="R106" s="114">
        <f t="shared" si="22"/>
        <v>0</v>
      </c>
      <c r="S106" s="114">
        <f t="shared" si="15"/>
        <v>0</v>
      </c>
      <c r="T106" s="114">
        <f t="shared" si="16"/>
        <v>0</v>
      </c>
      <c r="U106" s="114">
        <f t="shared" si="23"/>
        <v>36</v>
      </c>
      <c r="V106" s="114">
        <f t="shared" si="17"/>
        <v>0</v>
      </c>
    </row>
    <row r="107" spans="1:22" ht="60">
      <c r="A107" s="10" t="str">
        <f>Questions!$A107</f>
        <v>CHNG-12</v>
      </c>
      <c r="B107" s="10" t="str">
        <f t="shared" si="18"/>
        <v>CHNG</v>
      </c>
      <c r="C107" s="10" t="str">
        <f>VLOOKUP($A107,Questions!$A$3:$L$333,2,0)&amp;""</f>
        <v>Do you have a technology roadmap, for at least the next two years, for enhancements and bug fixes for the solution being assessed?</v>
      </c>
      <c r="D107" s="10" t="str">
        <f>VLOOKUP($A107,Questions!$A$3:$L$333,11,0)&amp;""</f>
        <v/>
      </c>
      <c r="E107" s="10" t="str">
        <f>VLOOKUP($A107,Questions!$A$3:$L$333,12,0)&amp;""</f>
        <v>Organization</v>
      </c>
      <c r="F107" s="10" t="str">
        <f>VLOOKUP($A107,'Institution Evaluation'!$A$56:$K$346,3,0)&amp;""</f>
        <v>yes</v>
      </c>
      <c r="G107" s="10" t="str">
        <f>VLOOKUP($A107,'Institution Evaluation'!$A$56:$K$346,7,0)&amp;""</f>
        <v>Yes</v>
      </c>
      <c r="H107" s="10" t="str">
        <f>VLOOKUP($A107,'Institution Evaluation'!$A$56:$K$346,8,0)&amp;""</f>
        <v/>
      </c>
      <c r="I107" s="10" t="str">
        <f>VLOOKUP($A107,'Institution Evaluation'!$A$56:$K$346,9,0)&amp;""</f>
        <v>Minor Importance</v>
      </c>
      <c r="J107" s="10" t="str">
        <f>VLOOKUP($A107,'Institution Evaluation'!$A$56:$K$346,10,0)&amp;""</f>
        <v/>
      </c>
      <c r="K107" s="10">
        <f t="shared" si="19"/>
        <v>5</v>
      </c>
      <c r="L107" s="114">
        <f>IF($E107="Not Scored", "N/A",IF(AND($D107='Auto Responses'!$J$27,$H107=""),"N/A",IF(AND($D107='Auto Responses'!$J$27,$H107='Auto Responses'!$J$7),1,IF(AND($D107='Auto Responses'!$J$27,$H107='Auto Responses'!$J$8),0,IF(OR($F107=$G107,$H107='Auto Responses'!$J$7),1,0)))))</f>
        <v>1</v>
      </c>
      <c r="M107" s="10" t="str">
        <f>VLOOKUP($A107,'Institution Evaluation'!$A$56:$K$346,10,0)&amp;""</f>
        <v/>
      </c>
      <c r="N107" s="10">
        <f t="shared" si="20"/>
        <v>0</v>
      </c>
      <c r="O107" s="114">
        <f t="shared" si="24"/>
        <v>5</v>
      </c>
      <c r="P107" s="114">
        <f t="shared" si="25"/>
        <v>5</v>
      </c>
      <c r="Q107" s="114">
        <f t="shared" si="14"/>
        <v>0</v>
      </c>
      <c r="R107" s="114">
        <f t="shared" si="22"/>
        <v>0</v>
      </c>
      <c r="S107" s="114">
        <f t="shared" si="15"/>
        <v>0</v>
      </c>
      <c r="T107" s="114">
        <f t="shared" si="16"/>
        <v>0</v>
      </c>
      <c r="U107" s="114">
        <f t="shared" si="23"/>
        <v>36</v>
      </c>
      <c r="V107" s="114">
        <f t="shared" si="17"/>
        <v>0</v>
      </c>
    </row>
    <row r="108" spans="1:22" ht="60">
      <c r="A108" s="10" t="str">
        <f>Questions!$A108</f>
        <v>CHNG-13</v>
      </c>
      <c r="B108" s="10" t="str">
        <f t="shared" si="18"/>
        <v>CHNG</v>
      </c>
      <c r="C108" s="10" t="str">
        <f>VLOOKUP($A108,Questions!$A$3:$L$333,2,0)&amp;""</f>
        <v>Can solution updates be completed without institutional involvement (i.e., technically or organizationally)?</v>
      </c>
      <c r="D108" s="10" t="str">
        <f>VLOOKUP($A108,Questions!$A$3:$L$333,11,0)&amp;""</f>
        <v/>
      </c>
      <c r="E108" s="10" t="str">
        <f>VLOOKUP($A108,Questions!$A$3:$L$333,12,0)&amp;""</f>
        <v>Organization</v>
      </c>
      <c r="F108" s="10" t="str">
        <f>VLOOKUP($A108,'Institution Evaluation'!$A$56:$K$346,3,0)&amp;""</f>
        <v>yes</v>
      </c>
      <c r="G108" s="10" t="str">
        <f>VLOOKUP($A108,'Institution Evaluation'!$A$56:$K$346,7,0)&amp;""</f>
        <v>Yes</v>
      </c>
      <c r="H108" s="10" t="str">
        <f>VLOOKUP($A108,'Institution Evaluation'!$A$56:$K$346,8,0)&amp;""</f>
        <v/>
      </c>
      <c r="I108" s="10" t="str">
        <f>VLOOKUP($A108,'Institution Evaluation'!$A$56:$K$346,9,0)&amp;""</f>
        <v>Minor Importance</v>
      </c>
      <c r="J108" s="10" t="str">
        <f>VLOOKUP($A108,'Institution Evaluation'!$A$56:$K$346,10,0)&amp;""</f>
        <v/>
      </c>
      <c r="K108" s="10">
        <f t="shared" si="19"/>
        <v>5</v>
      </c>
      <c r="L108" s="114">
        <f>IF($E108="Not Scored", "N/A",IF(AND($D108='Auto Responses'!$J$27,$H108=""),"N/A",IF(AND($D108='Auto Responses'!$J$27,$H108='Auto Responses'!$J$7),1,IF(AND($D108='Auto Responses'!$J$27,$H108='Auto Responses'!$J$8),0,IF(OR($F108=$G108,$H108='Auto Responses'!$J$7),1,0)))))</f>
        <v>1</v>
      </c>
      <c r="M108" s="10" t="str">
        <f>VLOOKUP($A108,'Institution Evaluation'!$A$56:$K$346,10,0)&amp;""</f>
        <v/>
      </c>
      <c r="N108" s="10">
        <f t="shared" si="20"/>
        <v>0</v>
      </c>
      <c r="O108" s="114">
        <f t="shared" si="24"/>
        <v>5</v>
      </c>
      <c r="P108" s="114">
        <f t="shared" si="25"/>
        <v>5</v>
      </c>
      <c r="Q108" s="114">
        <f t="shared" si="14"/>
        <v>0</v>
      </c>
      <c r="R108" s="114">
        <f t="shared" si="22"/>
        <v>0</v>
      </c>
      <c r="S108" s="114">
        <f t="shared" si="15"/>
        <v>0</v>
      </c>
      <c r="T108" s="114">
        <f t="shared" si="16"/>
        <v>0</v>
      </c>
      <c r="U108" s="114">
        <f t="shared" si="23"/>
        <v>36</v>
      </c>
      <c r="V108" s="114">
        <f t="shared" si="17"/>
        <v>0</v>
      </c>
    </row>
    <row r="109" spans="1:22" ht="60">
      <c r="A109" s="10" t="str">
        <f>Questions!$A109</f>
        <v>CHNG-14</v>
      </c>
      <c r="B109" s="10" t="str">
        <f t="shared" si="18"/>
        <v>CHNG</v>
      </c>
      <c r="C109" s="10" t="str">
        <f>VLOOKUP($A109,Questions!$A$3:$L$333,2,0)&amp;""</f>
        <v>Are upgrades or system changes installed during off-peak hours or in a manner that does not impact the customer?</v>
      </c>
      <c r="D109" s="10" t="str">
        <f>VLOOKUP($A109,Questions!$A$3:$L$333,11,0)&amp;""</f>
        <v/>
      </c>
      <c r="E109" s="10" t="str">
        <f>VLOOKUP($A109,Questions!$A$3:$L$333,12,0)&amp;""</f>
        <v>Organization</v>
      </c>
      <c r="F109" s="10" t="str">
        <f>VLOOKUP($A109,'Institution Evaluation'!$A$56:$K$346,3,0)&amp;""</f>
        <v>yes</v>
      </c>
      <c r="G109" s="10" t="str">
        <f>VLOOKUP($A109,'Institution Evaluation'!$A$56:$K$346,7,0)&amp;""</f>
        <v>Yes</v>
      </c>
      <c r="H109" s="10" t="str">
        <f>VLOOKUP($A109,'Institution Evaluation'!$A$56:$K$346,8,0)&amp;""</f>
        <v/>
      </c>
      <c r="I109" s="10" t="str">
        <f>VLOOKUP($A109,'Institution Evaluation'!$A$56:$K$346,9,0)&amp;""</f>
        <v>Minor Importance</v>
      </c>
      <c r="J109" s="10" t="str">
        <f>VLOOKUP($A109,'Institution Evaluation'!$A$56:$K$346,10,0)&amp;""</f>
        <v/>
      </c>
      <c r="K109" s="10">
        <f t="shared" si="19"/>
        <v>5</v>
      </c>
      <c r="L109" s="114">
        <f>IF($E109="Not Scored", "N/A",IF(AND($D109='Auto Responses'!$J$27,$H109=""),"N/A",IF(AND($D109='Auto Responses'!$J$27,$H109='Auto Responses'!$J$7),1,IF(AND($D109='Auto Responses'!$J$27,$H109='Auto Responses'!$J$8),0,IF(OR($F109=$G109,$H109='Auto Responses'!$J$7),1,0)))))</f>
        <v>1</v>
      </c>
      <c r="M109" s="10" t="str">
        <f>VLOOKUP($A109,'Institution Evaluation'!$A$56:$K$346,10,0)&amp;""</f>
        <v/>
      </c>
      <c r="N109" s="10">
        <f t="shared" si="20"/>
        <v>0</v>
      </c>
      <c r="O109" s="114">
        <f t="shared" si="24"/>
        <v>5</v>
      </c>
      <c r="P109" s="114">
        <f t="shared" si="25"/>
        <v>5</v>
      </c>
      <c r="Q109" s="114">
        <f t="shared" si="14"/>
        <v>0</v>
      </c>
      <c r="R109" s="114">
        <f t="shared" si="22"/>
        <v>0</v>
      </c>
      <c r="S109" s="114">
        <f t="shared" si="15"/>
        <v>0</v>
      </c>
      <c r="T109" s="114">
        <f t="shared" si="16"/>
        <v>0</v>
      </c>
      <c r="U109" s="114">
        <f t="shared" si="23"/>
        <v>36</v>
      </c>
      <c r="V109" s="114">
        <f t="shared" si="17"/>
        <v>0</v>
      </c>
    </row>
    <row r="110" spans="1:22" ht="60">
      <c r="A110" s="10" t="str">
        <f>Questions!$A110</f>
        <v>CHNG-15</v>
      </c>
      <c r="B110" s="10" t="str">
        <f t="shared" si="18"/>
        <v>CHNG</v>
      </c>
      <c r="C110" s="10" t="str">
        <f>VLOOKUP($A110,Questions!$A$3:$L$333,2,0)&amp;""</f>
        <v>Do procedures exist to provide that emergency changes are documented and authorized (including after-the-fact approval)?</v>
      </c>
      <c r="D110" s="10" t="str">
        <f>VLOOKUP($A110,Questions!$A$3:$L$333,11,0)&amp;""</f>
        <v/>
      </c>
      <c r="E110" s="10" t="str">
        <f>VLOOKUP($A110,Questions!$A$3:$L$333,12,0)&amp;""</f>
        <v>Organization</v>
      </c>
      <c r="F110" s="10" t="str">
        <f>VLOOKUP($A110,'Institution Evaluation'!$A$56:$K$346,3,0)&amp;""</f>
        <v>yes</v>
      </c>
      <c r="G110" s="10" t="str">
        <f>VLOOKUP($A110,'Institution Evaluation'!$A$56:$K$346,7,0)&amp;""</f>
        <v>Yes</v>
      </c>
      <c r="H110" s="10" t="str">
        <f>VLOOKUP($A110,'Institution Evaluation'!$A$56:$K$346,8,0)&amp;""</f>
        <v/>
      </c>
      <c r="I110" s="10" t="str">
        <f>VLOOKUP($A110,'Institution Evaluation'!$A$56:$K$346,9,0)&amp;""</f>
        <v>Minor Importance</v>
      </c>
      <c r="J110" s="10" t="str">
        <f>VLOOKUP($A110,'Institution Evaluation'!$A$56:$K$346,10,0)&amp;""</f>
        <v/>
      </c>
      <c r="K110" s="10">
        <f t="shared" si="19"/>
        <v>5</v>
      </c>
      <c r="L110" s="114">
        <f>IF($E110="Not Scored", "N/A",IF(AND($D110='Auto Responses'!$J$27,$H110=""),"N/A",IF(AND($D110='Auto Responses'!$J$27,$H110='Auto Responses'!$J$7),1,IF(AND($D110='Auto Responses'!$J$27,$H110='Auto Responses'!$J$8),0,IF(OR($F110=$G110,$H110='Auto Responses'!$J$7),1,0)))))</f>
        <v>1</v>
      </c>
      <c r="M110" s="10" t="str">
        <f>VLOOKUP($A110,'Institution Evaluation'!$A$56:$K$346,10,0)&amp;""</f>
        <v/>
      </c>
      <c r="N110" s="10">
        <f t="shared" si="20"/>
        <v>0</v>
      </c>
      <c r="O110" s="114">
        <f t="shared" si="24"/>
        <v>5</v>
      </c>
      <c r="P110" s="114">
        <f t="shared" si="25"/>
        <v>5</v>
      </c>
      <c r="Q110" s="114">
        <f t="shared" si="14"/>
        <v>0</v>
      </c>
      <c r="R110" s="114">
        <f t="shared" si="22"/>
        <v>0</v>
      </c>
      <c r="S110" s="114">
        <f t="shared" si="15"/>
        <v>0</v>
      </c>
      <c r="T110" s="114">
        <f t="shared" si="16"/>
        <v>0</v>
      </c>
      <c r="U110" s="114">
        <f t="shared" si="23"/>
        <v>36</v>
      </c>
      <c r="V110" s="114">
        <f t="shared" si="17"/>
        <v>0</v>
      </c>
    </row>
    <row r="111" spans="1:22" ht="60">
      <c r="A111" s="10" t="str">
        <f>Questions!$A111</f>
        <v>CHNG-16</v>
      </c>
      <c r="B111" s="10" t="str">
        <f t="shared" si="18"/>
        <v>CHNG</v>
      </c>
      <c r="C111" s="10" t="str">
        <f>VLOOKUP($A111,Questions!$A$3:$L$333,2,0)&amp;""</f>
        <v>Do you have a systems management and configuration strategy that encompasses servers, appliances, cloud services, applications, and mobile devices (company and employee owned)?</v>
      </c>
      <c r="D111" s="10" t="str">
        <f>VLOOKUP($A111,Questions!$A$3:$L$333,11,0)&amp;""</f>
        <v/>
      </c>
      <c r="E111" s="10" t="str">
        <f>VLOOKUP($A111,Questions!$A$3:$L$333,12,0)&amp;""</f>
        <v>Organization</v>
      </c>
      <c r="F111" s="10" t="str">
        <f>VLOOKUP($A111,'Institution Evaluation'!$A$56:$K$346,3,0)&amp;""</f>
        <v>yes</v>
      </c>
      <c r="G111" s="10" t="str">
        <f>VLOOKUP($A111,'Institution Evaluation'!$A$56:$K$346,7,0)&amp;""</f>
        <v>Yes</v>
      </c>
      <c r="H111" s="10" t="str">
        <f>VLOOKUP($A111,'Institution Evaluation'!$A$56:$K$346,8,0)&amp;""</f>
        <v/>
      </c>
      <c r="I111" s="10" t="str">
        <f>VLOOKUP($A111,'Institution Evaluation'!$A$56:$K$346,9,0)&amp;""</f>
        <v>Minor Importance</v>
      </c>
      <c r="J111" s="10" t="str">
        <f>VLOOKUP($A111,'Institution Evaluation'!$A$56:$K$346,10,0)&amp;""</f>
        <v/>
      </c>
      <c r="K111" s="10">
        <f t="shared" si="19"/>
        <v>5</v>
      </c>
      <c r="L111" s="114">
        <f>IF($E111="Not Scored", "N/A",IF(AND($D111='Auto Responses'!$J$27,$H111=""),"N/A",IF(AND($D111='Auto Responses'!$J$27,$H111='Auto Responses'!$J$7),1,IF(AND($D111='Auto Responses'!$J$27,$H111='Auto Responses'!$J$8),0,IF(OR($F111=$G111,$H111='Auto Responses'!$J$7),1,0)))))</f>
        <v>1</v>
      </c>
      <c r="M111" s="10" t="str">
        <f>VLOOKUP($A111,'Institution Evaluation'!$A$56:$K$346,10,0)&amp;""</f>
        <v/>
      </c>
      <c r="N111" s="10">
        <f t="shared" si="20"/>
        <v>0</v>
      </c>
      <c r="O111" s="114">
        <f t="shared" si="24"/>
        <v>5</v>
      </c>
      <c r="P111" s="114">
        <f t="shared" si="25"/>
        <v>5</v>
      </c>
      <c r="Q111" s="114">
        <f t="shared" si="14"/>
        <v>0</v>
      </c>
      <c r="R111" s="114">
        <f t="shared" si="22"/>
        <v>0</v>
      </c>
      <c r="S111" s="114">
        <f t="shared" si="15"/>
        <v>0</v>
      </c>
      <c r="T111" s="114">
        <f t="shared" si="16"/>
        <v>0</v>
      </c>
      <c r="U111" s="114">
        <f t="shared" si="23"/>
        <v>36</v>
      </c>
      <c r="V111" s="114">
        <f t="shared" si="17"/>
        <v>0</v>
      </c>
    </row>
    <row r="112" spans="1:22" ht="60">
      <c r="A112" s="10" t="str">
        <f>Questions!$A112</f>
        <v>DATA-01</v>
      </c>
      <c r="B112" s="10" t="str">
        <f t="shared" si="18"/>
        <v>DATA</v>
      </c>
      <c r="C112" s="10" t="str">
        <f>VLOOKUP($A112,Questions!$A$3:$L$333,2,0)&amp;""</f>
        <v>Will the institution's data be stored on any devices (database servers, file servers, SAN, NAS, etc.) configured with non-RFC 1918/4193 (i.e., publicly routable) IP addresses?*</v>
      </c>
      <c r="D112" s="10" t="str">
        <f>VLOOKUP($A112,Questions!$A$3:$L$333,11,0)&amp;""</f>
        <v/>
      </c>
      <c r="E112" s="10" t="str">
        <f>VLOOKUP($A112,Questions!$A$3:$L$333,12,0)&amp;""</f>
        <v>Product</v>
      </c>
      <c r="F112" s="10" t="str">
        <f>VLOOKUP($A112,'Institution Evaluation'!$A$56:$K$346,3,0)&amp;""</f>
        <v>no</v>
      </c>
      <c r="G112" s="10" t="str">
        <f>VLOOKUP($A112,'Institution Evaluation'!$A$56:$K$346,7,0)&amp;""</f>
        <v>No</v>
      </c>
      <c r="H112" s="10" t="str">
        <f>VLOOKUP($A112,'Institution Evaluation'!$A$56:$K$346,8,0)&amp;""</f>
        <v/>
      </c>
      <c r="I112" s="10" t="str">
        <f>VLOOKUP($A112,'Institution Evaluation'!$A$56:$K$346,9,0)&amp;""</f>
        <v>Critical Importance</v>
      </c>
      <c r="J112" s="10" t="str">
        <f>VLOOKUP($A112,'Institution Evaluation'!$A$56:$K$346,10,0)&amp;""</f>
        <v/>
      </c>
      <c r="K112" s="10">
        <f t="shared" si="19"/>
        <v>20</v>
      </c>
      <c r="L112" s="114">
        <f>IF($E112="Not Scored", "N/A",IF(AND($D112='Auto Responses'!$J$27,$H112=""),"N/A",IF(AND($D112='Auto Responses'!$J$27,$H112='Auto Responses'!$J$7),1,IF(AND($D112='Auto Responses'!$J$27,$H112='Auto Responses'!$J$8),0,IF(OR($F112=$G112,$H112='Auto Responses'!$J$7),1,0)))))</f>
        <v>1</v>
      </c>
      <c r="M112" s="10" t="str">
        <f>VLOOKUP($A112,'Institution Evaluation'!$A$56:$K$346,10,0)&amp;""</f>
        <v/>
      </c>
      <c r="N112" s="10">
        <f t="shared" si="20"/>
        <v>1</v>
      </c>
      <c r="O112" s="114">
        <f t="shared" si="24"/>
        <v>20</v>
      </c>
      <c r="P112" s="114">
        <f t="shared" si="25"/>
        <v>20</v>
      </c>
      <c r="Q112" s="114">
        <f t="shared" si="14"/>
        <v>0</v>
      </c>
      <c r="R112" s="114">
        <f t="shared" si="22"/>
        <v>0</v>
      </c>
      <c r="S112" s="114">
        <f t="shared" si="15"/>
        <v>0</v>
      </c>
      <c r="T112" s="114">
        <f t="shared" si="16"/>
        <v>1</v>
      </c>
      <c r="U112" s="114">
        <f t="shared" si="23"/>
        <v>37</v>
      </c>
      <c r="V112" s="114">
        <f t="shared" si="17"/>
        <v>37</v>
      </c>
    </row>
    <row r="113" spans="1:22" ht="60">
      <c r="A113" s="10" t="str">
        <f>Questions!$A113</f>
        <v>DATA-02</v>
      </c>
      <c r="B113" s="10" t="str">
        <f t="shared" si="18"/>
        <v>DATA</v>
      </c>
      <c r="C113" s="10" t="str">
        <f>VLOOKUP($A113,Questions!$A$3:$L$333,2,0)&amp;""</f>
        <v>Is the transport of sensitive data encrypted using security protocols/algorithms (e.g., system-to-client)?*</v>
      </c>
      <c r="D113" s="10" t="str">
        <f>VLOOKUP($A113,Questions!$A$3:$L$333,11,0)&amp;""</f>
        <v/>
      </c>
      <c r="E113" s="10" t="str">
        <f>VLOOKUP($A113,Questions!$A$3:$L$333,12,0)&amp;""</f>
        <v>Product</v>
      </c>
      <c r="F113" s="10" t="str">
        <f>VLOOKUP($A113,'Institution Evaluation'!$A$56:$K$346,3,0)&amp;""</f>
        <v>yes</v>
      </c>
      <c r="G113" s="10" t="str">
        <f>VLOOKUP($A113,'Institution Evaluation'!$A$56:$K$346,7,0)&amp;""</f>
        <v>Yes</v>
      </c>
      <c r="H113" s="10" t="str">
        <f>VLOOKUP($A113,'Institution Evaluation'!$A$56:$K$346,8,0)&amp;""</f>
        <v/>
      </c>
      <c r="I113" s="10" t="str">
        <f>VLOOKUP($A113,'Institution Evaluation'!$A$56:$K$346,9,0)&amp;""</f>
        <v>Critical Importance</v>
      </c>
      <c r="J113" s="10" t="str">
        <f>VLOOKUP($A113,'Institution Evaluation'!$A$56:$K$346,10,0)&amp;""</f>
        <v/>
      </c>
      <c r="K113" s="10">
        <f t="shared" si="19"/>
        <v>20</v>
      </c>
      <c r="L113" s="114">
        <f>IF($E113="Not Scored", "N/A",IF(AND($D113='Auto Responses'!$J$27,$H113=""),"N/A",IF(AND($D113='Auto Responses'!$J$27,$H113='Auto Responses'!$J$7),1,IF(AND($D113='Auto Responses'!$J$27,$H113='Auto Responses'!$J$8),0,IF(OR($F113=$G113,$H113='Auto Responses'!$J$7),1,0)))))</f>
        <v>1</v>
      </c>
      <c r="M113" s="10" t="str">
        <f>VLOOKUP($A113,'Institution Evaluation'!$A$56:$K$346,10,0)&amp;""</f>
        <v/>
      </c>
      <c r="N113" s="10">
        <f t="shared" si="20"/>
        <v>1</v>
      </c>
      <c r="O113" s="114">
        <f t="shared" si="24"/>
        <v>20</v>
      </c>
      <c r="P113" s="114">
        <f t="shared" si="25"/>
        <v>20</v>
      </c>
      <c r="Q113" s="114">
        <f t="shared" si="14"/>
        <v>0</v>
      </c>
      <c r="R113" s="114">
        <f t="shared" si="22"/>
        <v>0</v>
      </c>
      <c r="S113" s="114">
        <f t="shared" si="15"/>
        <v>0</v>
      </c>
      <c r="T113" s="114">
        <f t="shared" si="16"/>
        <v>1</v>
      </c>
      <c r="U113" s="114">
        <f t="shared" si="23"/>
        <v>38</v>
      </c>
      <c r="V113" s="114">
        <f t="shared" si="17"/>
        <v>38</v>
      </c>
    </row>
    <row r="114" spans="1:22" ht="60">
      <c r="A114" s="10" t="str">
        <f>Questions!$A114</f>
        <v>DATA-03</v>
      </c>
      <c r="B114" s="10" t="str">
        <f t="shared" si="18"/>
        <v>DATA</v>
      </c>
      <c r="C114" s="10" t="str">
        <f>VLOOKUP($A114,Questions!$A$3:$L$333,2,0)&amp;""</f>
        <v>Is the storage of sensitive data encrypted using security protocols/algorithms (e.g., disk encryption, at-rest, files, and within a running database)?*</v>
      </c>
      <c r="D114" s="10" t="str">
        <f>VLOOKUP($A114,Questions!$A$3:$L$333,11,0)&amp;""</f>
        <v/>
      </c>
      <c r="E114" s="10" t="str">
        <f>VLOOKUP($A114,Questions!$A$3:$L$333,12,0)&amp;""</f>
        <v>Product</v>
      </c>
      <c r="F114" s="10" t="str">
        <f>VLOOKUP($A114,'Institution Evaluation'!$A$56:$K$346,3,0)&amp;""</f>
        <v>yes</v>
      </c>
      <c r="G114" s="10" t="str">
        <f>VLOOKUP($A114,'Institution Evaluation'!$A$56:$K$346,7,0)&amp;""</f>
        <v>Yes</v>
      </c>
      <c r="H114" s="10" t="str">
        <f>VLOOKUP($A114,'Institution Evaluation'!$A$56:$K$346,8,0)&amp;""</f>
        <v/>
      </c>
      <c r="I114" s="10" t="str">
        <f>VLOOKUP($A114,'Institution Evaluation'!$A$56:$K$346,9,0)&amp;""</f>
        <v>Critical Importance</v>
      </c>
      <c r="J114" s="10" t="str">
        <f>VLOOKUP($A114,'Institution Evaluation'!$A$56:$K$346,10,0)&amp;""</f>
        <v/>
      </c>
      <c r="K114" s="10">
        <f t="shared" si="19"/>
        <v>20</v>
      </c>
      <c r="L114" s="114">
        <f>IF($E114="Not Scored", "N/A",IF(AND($D114='Auto Responses'!$J$27,$H114=""),"N/A",IF(AND($D114='Auto Responses'!$J$27,$H114='Auto Responses'!$J$7),1,IF(AND($D114='Auto Responses'!$J$27,$H114='Auto Responses'!$J$8),0,IF(OR($F114=$G114,$H114='Auto Responses'!$J$7),1,0)))))</f>
        <v>1</v>
      </c>
      <c r="M114" s="10" t="str">
        <f>VLOOKUP($A114,'Institution Evaluation'!$A$56:$K$346,10,0)&amp;""</f>
        <v/>
      </c>
      <c r="N114" s="10">
        <f t="shared" si="20"/>
        <v>1</v>
      </c>
      <c r="O114" s="114">
        <f t="shared" si="24"/>
        <v>20</v>
      </c>
      <c r="P114" s="114">
        <f t="shared" si="25"/>
        <v>20</v>
      </c>
      <c r="Q114" s="114">
        <f t="shared" si="14"/>
        <v>0</v>
      </c>
      <c r="R114" s="114">
        <f t="shared" si="22"/>
        <v>0</v>
      </c>
      <c r="S114" s="114">
        <f t="shared" si="15"/>
        <v>0</v>
      </c>
      <c r="T114" s="114">
        <f t="shared" si="16"/>
        <v>1</v>
      </c>
      <c r="U114" s="114">
        <f t="shared" si="23"/>
        <v>39</v>
      </c>
      <c r="V114" s="114">
        <f t="shared" si="17"/>
        <v>39</v>
      </c>
    </row>
    <row r="115" spans="1:22" ht="60">
      <c r="A115" s="10" t="str">
        <f>Questions!$A115</f>
        <v>DATA-04</v>
      </c>
      <c r="B115" s="10" t="str">
        <f t="shared" si="18"/>
        <v>DATA</v>
      </c>
      <c r="C115" s="10" t="str">
        <f>VLOOKUP($A115,Questions!$A$3:$L$333,2,0)&amp;""</f>
        <v>Do all cryptographic modules in use in your solution conform to the Federal Information Processing Standards (FIPS PUB 140-2 or 140-3)?*</v>
      </c>
      <c r="D115" s="10" t="str">
        <f>VLOOKUP($A115,Questions!$A$3:$L$333,11,0)&amp;""</f>
        <v/>
      </c>
      <c r="E115" s="10" t="str">
        <f>VLOOKUP($A115,Questions!$A$3:$L$333,12,0)&amp;""</f>
        <v>Product</v>
      </c>
      <c r="F115" s="10" t="str">
        <f>VLOOKUP($A115,'Institution Evaluation'!$A$56:$K$346,3,0)&amp;""</f>
        <v>yes</v>
      </c>
      <c r="G115" s="10" t="str">
        <f>VLOOKUP($A115,'Institution Evaluation'!$A$56:$K$346,7,0)&amp;""</f>
        <v>Yes</v>
      </c>
      <c r="H115" s="10" t="str">
        <f>VLOOKUP($A115,'Institution Evaluation'!$A$56:$K$346,8,0)&amp;""</f>
        <v/>
      </c>
      <c r="I115" s="10" t="str">
        <f>VLOOKUP($A115,'Institution Evaluation'!$A$56:$K$346,9,0)&amp;""</f>
        <v>Critical Importance</v>
      </c>
      <c r="J115" s="10" t="str">
        <f>VLOOKUP($A115,'Institution Evaluation'!$A$56:$K$346,10,0)&amp;""</f>
        <v/>
      </c>
      <c r="K115" s="10">
        <f t="shared" si="19"/>
        <v>20</v>
      </c>
      <c r="L115" s="114">
        <f>IF($E115="Not Scored", "N/A",IF(AND($D115='Auto Responses'!$J$27,$H115=""),"N/A",IF(AND($D115='Auto Responses'!$J$27,$H115='Auto Responses'!$J$7),1,IF(AND($D115='Auto Responses'!$J$27,$H115='Auto Responses'!$J$8),0,IF(OR($F115=$G115,$H115='Auto Responses'!$J$7),1,0)))))</f>
        <v>1</v>
      </c>
      <c r="M115" s="10" t="str">
        <f>VLOOKUP($A115,'Institution Evaluation'!$A$56:$K$346,10,0)&amp;""</f>
        <v/>
      </c>
      <c r="N115" s="10">
        <f t="shared" si="20"/>
        <v>1</v>
      </c>
      <c r="O115" s="114">
        <f t="shared" si="24"/>
        <v>20</v>
      </c>
      <c r="P115" s="114">
        <f t="shared" si="25"/>
        <v>20</v>
      </c>
      <c r="Q115" s="114">
        <f t="shared" si="14"/>
        <v>0</v>
      </c>
      <c r="R115" s="114">
        <f t="shared" si="22"/>
        <v>0</v>
      </c>
      <c r="S115" s="114">
        <f t="shared" si="15"/>
        <v>0</v>
      </c>
      <c r="T115" s="114">
        <f t="shared" si="16"/>
        <v>1</v>
      </c>
      <c r="U115" s="114">
        <f t="shared" si="23"/>
        <v>40</v>
      </c>
      <c r="V115" s="114">
        <f t="shared" si="17"/>
        <v>40</v>
      </c>
    </row>
    <row r="116" spans="1:22" ht="60">
      <c r="A116" s="10" t="str">
        <f>Questions!$A116</f>
        <v>DATA-05</v>
      </c>
      <c r="B116" s="10" t="str">
        <f t="shared" si="18"/>
        <v>DATA</v>
      </c>
      <c r="C116" s="10" t="str">
        <f>VLOOKUP($A116,Questions!$A$3:$L$333,2,0)&amp;""</f>
        <v>Will the institution's data be available within the system for a period of time at the completion of this contract?*</v>
      </c>
      <c r="D116" s="10" t="str">
        <f>VLOOKUP($A116,Questions!$A$3:$L$333,11,0)&amp;""</f>
        <v/>
      </c>
      <c r="E116" s="10" t="str">
        <f>VLOOKUP($A116,Questions!$A$3:$L$333,12,0)&amp;""</f>
        <v>Product</v>
      </c>
      <c r="F116" s="10" t="str">
        <f>VLOOKUP($A116,'Institution Evaluation'!$A$56:$K$346,3,0)&amp;""</f>
        <v>yes</v>
      </c>
      <c r="G116" s="10" t="str">
        <f>VLOOKUP($A116,'Institution Evaluation'!$A$56:$K$346,7,0)&amp;""</f>
        <v>Yes</v>
      </c>
      <c r="H116" s="10" t="str">
        <f>VLOOKUP($A116,'Institution Evaluation'!$A$56:$K$346,8,0)&amp;""</f>
        <v/>
      </c>
      <c r="I116" s="10" t="str">
        <f>VLOOKUP($A116,'Institution Evaluation'!$A$56:$K$346,9,0)&amp;""</f>
        <v>Critical Importance</v>
      </c>
      <c r="J116" s="10" t="str">
        <f>VLOOKUP($A116,'Institution Evaluation'!$A$56:$K$346,10,0)&amp;""</f>
        <v/>
      </c>
      <c r="K116" s="10">
        <f t="shared" si="19"/>
        <v>20</v>
      </c>
      <c r="L116" s="114">
        <f>IF($E116="Not Scored", "N/A",IF(AND($D116='Auto Responses'!$J$27,$H116=""),"N/A",IF(AND($D116='Auto Responses'!$J$27,$H116='Auto Responses'!$J$7),1,IF(AND($D116='Auto Responses'!$J$27,$H116='Auto Responses'!$J$8),0,IF(OR($F116=$G116,$H116='Auto Responses'!$J$7),1,0)))))</f>
        <v>1</v>
      </c>
      <c r="M116" s="10" t="str">
        <f>VLOOKUP($A116,'Institution Evaluation'!$A$56:$K$346,10,0)&amp;""</f>
        <v/>
      </c>
      <c r="N116" s="10">
        <f t="shared" si="20"/>
        <v>1</v>
      </c>
      <c r="O116" s="114">
        <f t="shared" si="24"/>
        <v>20</v>
      </c>
      <c r="P116" s="114">
        <f t="shared" si="25"/>
        <v>20</v>
      </c>
      <c r="Q116" s="114">
        <f t="shared" si="14"/>
        <v>0</v>
      </c>
      <c r="R116" s="114">
        <f t="shared" si="22"/>
        <v>0</v>
      </c>
      <c r="S116" s="114">
        <f t="shared" si="15"/>
        <v>0</v>
      </c>
      <c r="T116" s="114">
        <f t="shared" si="16"/>
        <v>1</v>
      </c>
      <c r="U116" s="114">
        <f t="shared" si="23"/>
        <v>41</v>
      </c>
      <c r="V116" s="114">
        <f t="shared" si="17"/>
        <v>41</v>
      </c>
    </row>
    <row r="117" spans="1:22" ht="60">
      <c r="A117" s="10" t="str">
        <f>Questions!$A117</f>
        <v>DATA-06</v>
      </c>
      <c r="B117" s="10" t="str">
        <f t="shared" si="18"/>
        <v>DATA</v>
      </c>
      <c r="C117" s="10" t="str">
        <f>VLOOKUP($A117,Questions!$A$3:$L$333,2,0)&amp;""</f>
        <v>Are these rights retained even through a provider acquisition or bankruptcy event?*</v>
      </c>
      <c r="D117" s="10" t="str">
        <f>VLOOKUP($A117,Questions!$A$3:$L$333,11,0)&amp;""</f>
        <v/>
      </c>
      <c r="E117" s="10" t="str">
        <f>VLOOKUP($A117,Questions!$A$3:$L$333,12,0)&amp;""</f>
        <v>Product</v>
      </c>
      <c r="F117" s="10" t="str">
        <f>VLOOKUP($A117,'Institution Evaluation'!$A$56:$K$346,3,0)&amp;""</f>
        <v>yes</v>
      </c>
      <c r="G117" s="10" t="str">
        <f>VLOOKUP($A117,'Institution Evaluation'!$A$56:$K$346,7,0)&amp;""</f>
        <v>Yes</v>
      </c>
      <c r="H117" s="10" t="str">
        <f>VLOOKUP($A117,'Institution Evaluation'!$A$56:$K$346,8,0)&amp;""</f>
        <v/>
      </c>
      <c r="I117" s="10" t="str">
        <f>VLOOKUP($A117,'Institution Evaluation'!$A$56:$K$346,9,0)&amp;""</f>
        <v>Critical Importance</v>
      </c>
      <c r="J117" s="10" t="str">
        <f>VLOOKUP($A117,'Institution Evaluation'!$A$56:$K$346,10,0)&amp;""</f>
        <v/>
      </c>
      <c r="K117" s="10">
        <f t="shared" si="19"/>
        <v>20</v>
      </c>
      <c r="L117" s="114">
        <f>IF($E117="Not Scored", "N/A",IF(AND($D117='Auto Responses'!$J$27,$H117=""),"N/A",IF(AND($D117='Auto Responses'!$J$27,$H117='Auto Responses'!$J$7),1,IF(AND($D117='Auto Responses'!$J$27,$H117='Auto Responses'!$J$8),0,IF(OR($F117=$G117,$H117='Auto Responses'!$J$7),1,0)))))</f>
        <v>1</v>
      </c>
      <c r="M117" s="10" t="str">
        <f>VLOOKUP($A117,'Institution Evaluation'!$A$56:$K$346,10,0)&amp;""</f>
        <v/>
      </c>
      <c r="N117" s="10">
        <f t="shared" si="20"/>
        <v>1</v>
      </c>
      <c r="O117" s="114">
        <f t="shared" si="24"/>
        <v>20</v>
      </c>
      <c r="P117" s="114">
        <f t="shared" si="25"/>
        <v>20</v>
      </c>
      <c r="Q117" s="114">
        <f t="shared" si="14"/>
        <v>0</v>
      </c>
      <c r="R117" s="114">
        <f t="shared" si="22"/>
        <v>0</v>
      </c>
      <c r="S117" s="114">
        <f t="shared" si="15"/>
        <v>0</v>
      </c>
      <c r="T117" s="114">
        <f t="shared" si="16"/>
        <v>1</v>
      </c>
      <c r="U117" s="114">
        <f t="shared" si="23"/>
        <v>42</v>
      </c>
      <c r="V117" s="114">
        <f t="shared" si="17"/>
        <v>42</v>
      </c>
    </row>
    <row r="118" spans="1:22" ht="60">
      <c r="A118" s="10" t="str">
        <f>Questions!$A118</f>
        <v>DATA-07</v>
      </c>
      <c r="B118" s="10" t="str">
        <f t="shared" si="18"/>
        <v>DATA</v>
      </c>
      <c r="C118" s="10" t="str">
        <f>VLOOKUP($A118,Questions!$A$3:$L$333,2,0)&amp;""</f>
        <v>Do backups containing the institution's data ever leave the institution's data zone either physically or via network routing?*</v>
      </c>
      <c r="D118" s="10" t="str">
        <f>VLOOKUP($A118,Questions!$A$3:$L$333,11,0)&amp;""</f>
        <v/>
      </c>
      <c r="E118" s="10" t="str">
        <f>VLOOKUP($A118,Questions!$A$3:$L$333,12,0)&amp;""</f>
        <v>Product</v>
      </c>
      <c r="F118" s="10" t="str">
        <f>VLOOKUP($A118,'Institution Evaluation'!$A$56:$K$346,3,0)&amp;""</f>
        <v>no</v>
      </c>
      <c r="G118" s="10" t="str">
        <f>VLOOKUP($A118,'Institution Evaluation'!$A$56:$K$346,7,0)&amp;""</f>
        <v>No</v>
      </c>
      <c r="H118" s="10" t="str">
        <f>VLOOKUP($A118,'Institution Evaluation'!$A$56:$K$346,8,0)&amp;""</f>
        <v/>
      </c>
      <c r="I118" s="10" t="str">
        <f>VLOOKUP($A118,'Institution Evaluation'!$A$56:$K$346,9,0)&amp;""</f>
        <v>Critical Importance</v>
      </c>
      <c r="J118" s="10" t="str">
        <f>VLOOKUP($A118,'Institution Evaluation'!$A$56:$K$346,10,0)&amp;""</f>
        <v/>
      </c>
      <c r="K118" s="10">
        <f t="shared" si="19"/>
        <v>20</v>
      </c>
      <c r="L118" s="114">
        <f>IF($E118="Not Scored", "N/A",IF(AND($D118='Auto Responses'!$J$27,$H118=""),"N/A",IF(AND($D118='Auto Responses'!$J$27,$H118='Auto Responses'!$J$7),1,IF(AND($D118='Auto Responses'!$J$27,$H118='Auto Responses'!$J$8),0,IF(OR($F118=$G118,$H118='Auto Responses'!$J$7),1,0)))))</f>
        <v>1</v>
      </c>
      <c r="M118" s="10" t="str">
        <f>VLOOKUP($A118,'Institution Evaluation'!$A$56:$K$346,10,0)&amp;""</f>
        <v/>
      </c>
      <c r="N118" s="10">
        <f t="shared" si="20"/>
        <v>1</v>
      </c>
      <c r="O118" s="114">
        <f t="shared" si="24"/>
        <v>20</v>
      </c>
      <c r="P118" s="114">
        <f t="shared" si="25"/>
        <v>20</v>
      </c>
      <c r="Q118" s="114">
        <f t="shared" si="14"/>
        <v>0</v>
      </c>
      <c r="R118" s="114">
        <f t="shared" si="22"/>
        <v>0</v>
      </c>
      <c r="S118" s="114">
        <f t="shared" si="15"/>
        <v>0</v>
      </c>
      <c r="T118" s="114">
        <f t="shared" si="16"/>
        <v>1</v>
      </c>
      <c r="U118" s="114">
        <f t="shared" si="23"/>
        <v>43</v>
      </c>
      <c r="V118" s="114">
        <f t="shared" si="17"/>
        <v>43</v>
      </c>
    </row>
    <row r="119" spans="1:22" ht="60">
      <c r="A119" s="10" t="str">
        <f>Questions!$A119</f>
        <v>DATA-08</v>
      </c>
      <c r="B119" s="10" t="str">
        <f t="shared" si="18"/>
        <v>DATA</v>
      </c>
      <c r="C119" s="10" t="str">
        <f>VLOOKUP($A119,Questions!$A$3:$L$333,2,0)&amp;""</f>
        <v>Is media used for long-term retention of business data and archival purposes stored in a secure, environmentally protected area?*</v>
      </c>
      <c r="D119" s="10" t="str">
        <f>VLOOKUP($A119,Questions!$A$3:$L$333,11,0)&amp;""</f>
        <v/>
      </c>
      <c r="E119" s="10" t="str">
        <f>VLOOKUP($A119,Questions!$A$3:$L$333,12,0)&amp;""</f>
        <v>Product</v>
      </c>
      <c r="F119" s="10" t="str">
        <f>VLOOKUP($A119,'Institution Evaluation'!$A$56:$K$346,3,0)&amp;""</f>
        <v>yes</v>
      </c>
      <c r="G119" s="10" t="str">
        <f>VLOOKUP($A119,'Institution Evaluation'!$A$56:$K$346,7,0)&amp;""</f>
        <v>Yes</v>
      </c>
      <c r="H119" s="10" t="str">
        <f>VLOOKUP($A119,'Institution Evaluation'!$A$56:$K$346,8,0)&amp;""</f>
        <v/>
      </c>
      <c r="I119" s="10" t="str">
        <f>VLOOKUP($A119,'Institution Evaluation'!$A$56:$K$346,9,0)&amp;""</f>
        <v>Critical Importance</v>
      </c>
      <c r="J119" s="10" t="str">
        <f>VLOOKUP($A119,'Institution Evaluation'!$A$56:$K$346,10,0)&amp;""</f>
        <v/>
      </c>
      <c r="K119" s="10">
        <f t="shared" si="19"/>
        <v>20</v>
      </c>
      <c r="L119" s="114">
        <f>IF($E119="Not Scored", "N/A",IF(AND($D119='Auto Responses'!$J$27,$H119=""),"N/A",IF(AND($D119='Auto Responses'!$J$27,$H119='Auto Responses'!$J$7),1,IF(AND($D119='Auto Responses'!$J$27,$H119='Auto Responses'!$J$8),0,IF(OR($F119=$G119,$H119='Auto Responses'!$J$7),1,0)))))</f>
        <v>1</v>
      </c>
      <c r="M119" s="10" t="str">
        <f>VLOOKUP($A119,'Institution Evaluation'!$A$56:$K$346,10,0)&amp;""</f>
        <v/>
      </c>
      <c r="N119" s="10">
        <f t="shared" si="20"/>
        <v>1</v>
      </c>
      <c r="O119" s="114">
        <f t="shared" si="24"/>
        <v>20</v>
      </c>
      <c r="P119" s="114">
        <f t="shared" si="25"/>
        <v>20</v>
      </c>
      <c r="Q119" s="114">
        <f t="shared" si="14"/>
        <v>0</v>
      </c>
      <c r="R119" s="114">
        <f t="shared" si="22"/>
        <v>0</v>
      </c>
      <c r="S119" s="114">
        <f t="shared" si="15"/>
        <v>0</v>
      </c>
      <c r="T119" s="114">
        <f t="shared" si="16"/>
        <v>1</v>
      </c>
      <c r="U119" s="114">
        <f t="shared" si="23"/>
        <v>44</v>
      </c>
      <c r="V119" s="114">
        <f t="shared" si="17"/>
        <v>44</v>
      </c>
    </row>
    <row r="120" spans="1:22" ht="60">
      <c r="A120" s="10" t="str">
        <f>Questions!$A120</f>
        <v>DATA-09</v>
      </c>
      <c r="B120" s="10" t="str">
        <f t="shared" si="18"/>
        <v>DATA</v>
      </c>
      <c r="C120" s="10" t="str">
        <f>VLOOKUP($A120,Questions!$A$3:$L$333,2,0)&amp;""</f>
        <v>At the completion of this contract, will data be returned to the institution and/or deleted from all your systems and archives?</v>
      </c>
      <c r="D120" s="10" t="str">
        <f>VLOOKUP($A120,Questions!$A$3:$L$333,11,0)&amp;""</f>
        <v/>
      </c>
      <c r="E120" s="10" t="str">
        <f>VLOOKUP($A120,Questions!$A$3:$L$333,12,0)&amp;""</f>
        <v>Product</v>
      </c>
      <c r="F120" s="10" t="str">
        <f>VLOOKUP($A120,'Institution Evaluation'!$A$56:$K$346,3,0)&amp;""</f>
        <v>yes</v>
      </c>
      <c r="G120" s="10" t="str">
        <f>VLOOKUP($A120,'Institution Evaluation'!$A$56:$K$346,7,0)&amp;""</f>
        <v>Yes</v>
      </c>
      <c r="H120" s="10" t="str">
        <f>VLOOKUP($A120,'Institution Evaluation'!$A$56:$K$346,8,0)&amp;""</f>
        <v/>
      </c>
      <c r="I120" s="10" t="str">
        <f>VLOOKUP($A120,'Institution Evaluation'!$A$56:$K$346,9,0)&amp;""</f>
        <v>Standard Importance</v>
      </c>
      <c r="J120" s="10" t="str">
        <f>VLOOKUP($A120,'Institution Evaluation'!$A$56:$K$346,10,0)&amp;""</f>
        <v/>
      </c>
      <c r="K120" s="10">
        <f t="shared" si="19"/>
        <v>10</v>
      </c>
      <c r="L120" s="114">
        <f>IF($E120="Not Scored", "N/A",IF(AND($D120='Auto Responses'!$J$27,$H120=""),"N/A",IF(AND($D120='Auto Responses'!$J$27,$H120='Auto Responses'!$J$7),1,IF(AND($D120='Auto Responses'!$J$27,$H120='Auto Responses'!$J$8),0,IF(OR($F120=$G120,$H120='Auto Responses'!$J$7),1,0)))))</f>
        <v>1</v>
      </c>
      <c r="M120" s="10" t="str">
        <f>VLOOKUP($A120,'Institution Evaluation'!$A$56:$K$346,10,0)&amp;""</f>
        <v/>
      </c>
      <c r="N120" s="10">
        <f t="shared" si="20"/>
        <v>0</v>
      </c>
      <c r="O120" s="114">
        <f t="shared" si="24"/>
        <v>10</v>
      </c>
      <c r="P120" s="114">
        <f t="shared" si="25"/>
        <v>10</v>
      </c>
      <c r="Q120" s="114">
        <f t="shared" si="14"/>
        <v>0</v>
      </c>
      <c r="R120" s="114">
        <f t="shared" si="22"/>
        <v>0</v>
      </c>
      <c r="S120" s="114">
        <f t="shared" si="15"/>
        <v>0</v>
      </c>
      <c r="T120" s="114">
        <f t="shared" si="16"/>
        <v>0</v>
      </c>
      <c r="U120" s="114">
        <f t="shared" si="23"/>
        <v>44</v>
      </c>
      <c r="V120" s="114">
        <f t="shared" si="17"/>
        <v>0</v>
      </c>
    </row>
    <row r="121" spans="1:22" ht="60">
      <c r="A121" s="10" t="str">
        <f>Questions!$A121</f>
        <v>DATA-10</v>
      </c>
      <c r="B121" s="10" t="str">
        <f t="shared" si="18"/>
        <v>DATA</v>
      </c>
      <c r="C121" s="10" t="str">
        <f>VLOOKUP($A121,Questions!$A$3:$L$333,2,0)&amp;""</f>
        <v>Can the institution extract a full or partial backup of data?</v>
      </c>
      <c r="D121" s="10" t="str">
        <f>VLOOKUP($A121,Questions!$A$3:$L$333,11,0)&amp;""</f>
        <v/>
      </c>
      <c r="E121" s="10" t="str">
        <f>VLOOKUP($A121,Questions!$A$3:$L$333,12,0)&amp;""</f>
        <v>Product</v>
      </c>
      <c r="F121" s="10" t="str">
        <f>VLOOKUP($A121,'Institution Evaluation'!$A$56:$K$346,3,0)&amp;""</f>
        <v>yes</v>
      </c>
      <c r="G121" s="10" t="str">
        <f>VLOOKUP($A121,'Institution Evaluation'!$A$56:$K$346,7,0)&amp;""</f>
        <v>Yes</v>
      </c>
      <c r="H121" s="10" t="str">
        <f>VLOOKUP($A121,'Institution Evaluation'!$A$56:$K$346,8,0)&amp;""</f>
        <v/>
      </c>
      <c r="I121" s="10" t="str">
        <f>VLOOKUP($A121,'Institution Evaluation'!$A$56:$K$346,9,0)&amp;""</f>
        <v>Standard Importance</v>
      </c>
      <c r="J121" s="10" t="str">
        <f>VLOOKUP($A121,'Institution Evaluation'!$A$56:$K$346,10,0)&amp;""</f>
        <v/>
      </c>
      <c r="K121" s="10">
        <f t="shared" si="19"/>
        <v>10</v>
      </c>
      <c r="L121" s="114">
        <f>IF($E121="Not Scored", "N/A",IF(AND($D121='Auto Responses'!$J$27,$H121=""),"N/A",IF(AND($D121='Auto Responses'!$J$27,$H121='Auto Responses'!$J$7),1,IF(AND($D121='Auto Responses'!$J$27,$H121='Auto Responses'!$J$8),0,IF(OR($F121=$G121,$H121='Auto Responses'!$J$7),1,0)))))</f>
        <v>1</v>
      </c>
      <c r="M121" s="10" t="str">
        <f>VLOOKUP($A121,'Institution Evaluation'!$A$56:$K$346,10,0)&amp;""</f>
        <v/>
      </c>
      <c r="N121" s="10">
        <f t="shared" si="20"/>
        <v>0</v>
      </c>
      <c r="O121" s="114">
        <f t="shared" si="24"/>
        <v>10</v>
      </c>
      <c r="P121" s="114">
        <f t="shared" si="25"/>
        <v>10</v>
      </c>
      <c r="Q121" s="114">
        <f t="shared" si="14"/>
        <v>0</v>
      </c>
      <c r="R121" s="114">
        <f t="shared" si="22"/>
        <v>0</v>
      </c>
      <c r="S121" s="114">
        <f t="shared" si="15"/>
        <v>0</v>
      </c>
      <c r="T121" s="114">
        <f t="shared" si="16"/>
        <v>0</v>
      </c>
      <c r="U121" s="114">
        <f t="shared" si="23"/>
        <v>44</v>
      </c>
      <c r="V121" s="114">
        <f t="shared" si="17"/>
        <v>0</v>
      </c>
    </row>
    <row r="122" spans="1:22" ht="60">
      <c r="A122" s="10" t="str">
        <f>Questions!$A122</f>
        <v>DATA-11</v>
      </c>
      <c r="B122" s="10" t="str">
        <f t="shared" si="18"/>
        <v>DATA</v>
      </c>
      <c r="C122" s="10" t="str">
        <f>VLOOKUP($A122,Questions!$A$3:$L$333,2,0)&amp;""</f>
        <v>Do current backups include all operating system software, utilities, security software, application software, and data files necessary for recovery?</v>
      </c>
      <c r="D122" s="10" t="str">
        <f>VLOOKUP($A122,Questions!$A$3:$L$333,11,0)&amp;""</f>
        <v/>
      </c>
      <c r="E122" s="10" t="str">
        <f>VLOOKUP($A122,Questions!$A$3:$L$333,12,0)&amp;""</f>
        <v>Product</v>
      </c>
      <c r="F122" s="10" t="str">
        <f>VLOOKUP($A122,'Institution Evaluation'!$A$56:$K$346,3,0)&amp;""</f>
        <v>yes</v>
      </c>
      <c r="G122" s="10" t="str">
        <f>VLOOKUP($A122,'Institution Evaluation'!$A$56:$K$346,7,0)&amp;""</f>
        <v>Yes</v>
      </c>
      <c r="H122" s="10" t="str">
        <f>VLOOKUP($A122,'Institution Evaluation'!$A$56:$K$346,8,0)&amp;""</f>
        <v/>
      </c>
      <c r="I122" s="10" t="str">
        <f>VLOOKUP($A122,'Institution Evaluation'!$A$56:$K$346,9,0)&amp;""</f>
        <v>Standard Importance</v>
      </c>
      <c r="J122" s="10" t="str">
        <f>VLOOKUP($A122,'Institution Evaluation'!$A$56:$K$346,10,0)&amp;""</f>
        <v/>
      </c>
      <c r="K122" s="10">
        <f t="shared" si="19"/>
        <v>10</v>
      </c>
      <c r="L122" s="114">
        <f>IF($E122="Not Scored", "N/A",IF(AND($D122='Auto Responses'!$J$27,$H122=""),"N/A",IF(AND($D122='Auto Responses'!$J$27,$H122='Auto Responses'!$J$7),1,IF(AND($D122='Auto Responses'!$J$27,$H122='Auto Responses'!$J$8),0,IF(OR($F122=$G122,$H122='Auto Responses'!$J$7),1,0)))))</f>
        <v>1</v>
      </c>
      <c r="M122" s="10" t="str">
        <f>VLOOKUP($A122,'Institution Evaluation'!$A$56:$K$346,10,0)&amp;""</f>
        <v/>
      </c>
      <c r="N122" s="10">
        <f t="shared" si="20"/>
        <v>0</v>
      </c>
      <c r="O122" s="114">
        <f t="shared" si="24"/>
        <v>10</v>
      </c>
      <c r="P122" s="114">
        <f t="shared" si="25"/>
        <v>10</v>
      </c>
      <c r="Q122" s="114">
        <f t="shared" si="14"/>
        <v>0</v>
      </c>
      <c r="R122" s="114">
        <f t="shared" si="22"/>
        <v>0</v>
      </c>
      <c r="S122" s="114">
        <f t="shared" si="15"/>
        <v>0</v>
      </c>
      <c r="T122" s="114">
        <f t="shared" si="16"/>
        <v>0</v>
      </c>
      <c r="U122" s="114">
        <f t="shared" si="23"/>
        <v>44</v>
      </c>
      <c r="V122" s="114">
        <f t="shared" si="17"/>
        <v>0</v>
      </c>
    </row>
    <row r="123" spans="1:22" ht="60">
      <c r="A123" s="10" t="str">
        <f>Questions!$A123</f>
        <v>DATA-12</v>
      </c>
      <c r="B123" s="10" t="str">
        <f t="shared" si="18"/>
        <v>DATA</v>
      </c>
      <c r="C123" s="10" t="str">
        <f>VLOOKUP($A123,Questions!$A$3:$L$333,2,0)&amp;""</f>
        <v>Are you performing off-site backups (i.e., digitally moved off site)?</v>
      </c>
      <c r="D123" s="10" t="str">
        <f>VLOOKUP($A123,Questions!$A$3:$L$333,11,0)&amp;""</f>
        <v/>
      </c>
      <c r="E123" s="10" t="str">
        <f>VLOOKUP($A123,Questions!$A$3:$L$333,12,0)&amp;""</f>
        <v>Product</v>
      </c>
      <c r="F123" s="10" t="str">
        <f>VLOOKUP($A123,'Institution Evaluation'!$A$56:$K$346,3,0)&amp;""</f>
        <v>yes</v>
      </c>
      <c r="G123" s="10" t="str">
        <f>VLOOKUP($A123,'Institution Evaluation'!$A$56:$K$346,7,0)&amp;""</f>
        <v>Yes</v>
      </c>
      <c r="H123" s="10" t="str">
        <f>VLOOKUP($A123,'Institution Evaluation'!$A$56:$K$346,8,0)&amp;""</f>
        <v/>
      </c>
      <c r="I123" s="10" t="str">
        <f>VLOOKUP($A123,'Institution Evaluation'!$A$56:$K$346,9,0)&amp;""</f>
        <v>Standard Importance</v>
      </c>
      <c r="J123" s="10" t="str">
        <f>VLOOKUP($A123,'Institution Evaluation'!$A$56:$K$346,10,0)&amp;""</f>
        <v/>
      </c>
      <c r="K123" s="10">
        <f t="shared" si="19"/>
        <v>10</v>
      </c>
      <c r="L123" s="114">
        <f>IF($E123="Not Scored", "N/A",IF(AND($D123='Auto Responses'!$J$27,$H123=""),"N/A",IF(AND($D123='Auto Responses'!$J$27,$H123='Auto Responses'!$J$7),1,IF(AND($D123='Auto Responses'!$J$27,$H123='Auto Responses'!$J$8),0,IF(OR($F123=$G123,$H123='Auto Responses'!$J$7),1,0)))))</f>
        <v>1</v>
      </c>
      <c r="M123" s="10" t="str">
        <f>VLOOKUP($A123,'Institution Evaluation'!$A$56:$K$346,10,0)&amp;""</f>
        <v/>
      </c>
      <c r="N123" s="10">
        <f t="shared" si="20"/>
        <v>0</v>
      </c>
      <c r="O123" s="114">
        <f t="shared" si="24"/>
        <v>10</v>
      </c>
      <c r="P123" s="114">
        <f t="shared" si="25"/>
        <v>10</v>
      </c>
      <c r="Q123" s="114">
        <f t="shared" si="14"/>
        <v>0</v>
      </c>
      <c r="R123" s="114">
        <f t="shared" si="22"/>
        <v>0</v>
      </c>
      <c r="S123" s="114">
        <f t="shared" si="15"/>
        <v>0</v>
      </c>
      <c r="T123" s="114">
        <f t="shared" si="16"/>
        <v>0</v>
      </c>
      <c r="U123" s="114">
        <f t="shared" si="23"/>
        <v>44</v>
      </c>
      <c r="V123" s="114">
        <f t="shared" si="17"/>
        <v>0</v>
      </c>
    </row>
    <row r="124" spans="1:22" ht="60">
      <c r="A124" s="10" t="str">
        <f>Questions!$A124</f>
        <v>DATA-13</v>
      </c>
      <c r="B124" s="10" t="str">
        <f t="shared" si="18"/>
        <v>DATA</v>
      </c>
      <c r="C124" s="10" t="str">
        <f>VLOOKUP($A124,Questions!$A$3:$L$333,2,0)&amp;""</f>
        <v>Are physical backups taken off-site (i.e., physically moved off site)?</v>
      </c>
      <c r="D124" s="10" t="str">
        <f>VLOOKUP($A124,Questions!$A$3:$L$333,11,0)&amp;""</f>
        <v/>
      </c>
      <c r="E124" s="10" t="str">
        <f>VLOOKUP($A124,Questions!$A$3:$L$333,12,0)&amp;""</f>
        <v>Product</v>
      </c>
      <c r="F124" s="10" t="str">
        <f>VLOOKUP($A124,'Institution Evaluation'!$A$56:$K$346,3,0)&amp;""</f>
        <v>yes</v>
      </c>
      <c r="G124" s="10" t="str">
        <f>VLOOKUP($A124,'Institution Evaluation'!$A$56:$K$346,7,0)&amp;""</f>
        <v>Yes</v>
      </c>
      <c r="H124" s="10" t="str">
        <f>VLOOKUP($A124,'Institution Evaluation'!$A$56:$K$346,8,0)&amp;""</f>
        <v/>
      </c>
      <c r="I124" s="10" t="str">
        <f>VLOOKUP($A124,'Institution Evaluation'!$A$56:$K$346,9,0)&amp;""</f>
        <v>Standard Importance</v>
      </c>
      <c r="J124" s="10" t="str">
        <f>VLOOKUP($A124,'Institution Evaluation'!$A$56:$K$346,10,0)&amp;""</f>
        <v/>
      </c>
      <c r="K124" s="10">
        <f t="shared" si="19"/>
        <v>10</v>
      </c>
      <c r="L124" s="114">
        <f>IF($E124="Not Scored", "N/A",IF(AND($D124='Auto Responses'!$J$27,$H124=""),"N/A",IF(AND($D124='Auto Responses'!$J$27,$H124='Auto Responses'!$J$7),1,IF(AND($D124='Auto Responses'!$J$27,$H124='Auto Responses'!$J$8),0,IF(OR($F124=$G124,$H124='Auto Responses'!$J$7),1,0)))))</f>
        <v>1</v>
      </c>
      <c r="M124" s="10" t="str">
        <f>VLOOKUP($A124,'Institution Evaluation'!$A$56:$K$346,10,0)&amp;""</f>
        <v/>
      </c>
      <c r="N124" s="10">
        <f t="shared" si="20"/>
        <v>0</v>
      </c>
      <c r="O124" s="114">
        <f t="shared" si="24"/>
        <v>10</v>
      </c>
      <c r="P124" s="114">
        <f t="shared" si="25"/>
        <v>10</v>
      </c>
      <c r="Q124" s="114">
        <f t="shared" si="14"/>
        <v>0</v>
      </c>
      <c r="R124" s="114">
        <f t="shared" si="22"/>
        <v>0</v>
      </c>
      <c r="S124" s="114">
        <f t="shared" si="15"/>
        <v>0</v>
      </c>
      <c r="T124" s="114">
        <f t="shared" si="16"/>
        <v>0</v>
      </c>
      <c r="U124" s="114">
        <f t="shared" si="23"/>
        <v>44</v>
      </c>
      <c r="V124" s="114">
        <f t="shared" si="17"/>
        <v>0</v>
      </c>
    </row>
    <row r="125" spans="1:22" ht="75">
      <c r="A125" s="10" t="str">
        <f>Questions!$A126</f>
        <v>DATA-15</v>
      </c>
      <c r="B125" s="10" t="str">
        <f t="shared" si="18"/>
        <v>DATA</v>
      </c>
      <c r="C125" s="10" t="str">
        <f>VLOOKUP($A125,Questions!$A$3:$L$333,2,0)&amp;""</f>
        <v>Do you have a media handling process that is documented and currently implemented that meets established business needs and regulatory requirements, including end-of-life, repurposing, and data-sanitization procedures?</v>
      </c>
      <c r="D125" s="10" t="str">
        <f>VLOOKUP($A125,Questions!$A$3:$L$333,11,0)&amp;""</f>
        <v/>
      </c>
      <c r="E125" s="10" t="str">
        <f>VLOOKUP($A125,Questions!$A$3:$L$333,12,0)&amp;""</f>
        <v>Product</v>
      </c>
      <c r="F125" s="10" t="str">
        <f>VLOOKUP($A125,'Institution Evaluation'!$A$56:$K$346,3,0)&amp;""</f>
        <v>yes</v>
      </c>
      <c r="G125" s="10" t="str">
        <f>VLOOKUP($A125,'Institution Evaluation'!$A$56:$K$346,7,0)&amp;""</f>
        <v>Yes</v>
      </c>
      <c r="H125" s="10" t="str">
        <f>VLOOKUP($A125,'Institution Evaluation'!$A$56:$K$346,8,0)&amp;""</f>
        <v/>
      </c>
      <c r="I125" s="10" t="str">
        <f>VLOOKUP($A125,'Institution Evaluation'!$A$56:$K$346,9,0)&amp;""</f>
        <v>Standard Importance</v>
      </c>
      <c r="J125" s="10" t="str">
        <f>VLOOKUP($A125,'Institution Evaluation'!$A$56:$K$346,10,0)&amp;""</f>
        <v/>
      </c>
      <c r="K125" s="10">
        <f t="shared" si="19"/>
        <v>10</v>
      </c>
      <c r="L125" s="114">
        <f>IF($E125="Not Scored", "N/A",IF(AND($D125='Auto Responses'!$J$27,$H125=""),"N/A",IF(AND($D125='Auto Responses'!$J$27,$H125='Auto Responses'!$J$7),1,IF(AND($D125='Auto Responses'!$J$27,$H125='Auto Responses'!$J$8),0,IF(OR($F125=$G125,$H125='Auto Responses'!$J$7),1,0)))))</f>
        <v>1</v>
      </c>
      <c r="M125" s="10" t="str">
        <f>VLOOKUP($A125,'Institution Evaluation'!$A$56:$K$346,10,0)&amp;""</f>
        <v/>
      </c>
      <c r="N125" s="10">
        <f t="shared" si="20"/>
        <v>0</v>
      </c>
      <c r="O125" s="114">
        <f t="shared" si="24"/>
        <v>10</v>
      </c>
      <c r="P125" s="114">
        <f t="shared" si="25"/>
        <v>10</v>
      </c>
      <c r="Q125" s="114">
        <f t="shared" si="14"/>
        <v>0</v>
      </c>
      <c r="R125" s="114">
        <f t="shared" si="22"/>
        <v>0</v>
      </c>
      <c r="S125" s="114">
        <f t="shared" si="15"/>
        <v>0</v>
      </c>
      <c r="T125" s="114">
        <f t="shared" si="16"/>
        <v>0</v>
      </c>
      <c r="U125" s="114">
        <f t="shared" si="23"/>
        <v>44</v>
      </c>
      <c r="V125" s="114">
        <f t="shared" si="17"/>
        <v>0</v>
      </c>
    </row>
    <row r="126" spans="1:22" ht="60">
      <c r="A126" s="10" t="str">
        <f>Questions!$A127</f>
        <v>DATA-16</v>
      </c>
      <c r="B126" s="10" t="str">
        <f t="shared" si="18"/>
        <v>DATA</v>
      </c>
      <c r="C126" s="10" t="str">
        <f>VLOOKUP($A126,Questions!$A$3:$L$333,2,0)&amp;""</f>
        <v>Does the process described in DATA-15 adhere to DoD 5220.22-M and/or NIST SP 800-88 standards?</v>
      </c>
      <c r="D126" s="10" t="str">
        <f>VLOOKUP($A126,Questions!$A$3:$L$333,11,0)&amp;""</f>
        <v/>
      </c>
      <c r="E126" s="10" t="str">
        <f>VLOOKUP($A126,Questions!$A$3:$L$333,12,0)&amp;""</f>
        <v>Product</v>
      </c>
      <c r="F126" s="10" t="str">
        <f>VLOOKUP($A126,'Institution Evaluation'!$A$56:$K$346,3,0)&amp;""</f>
        <v>yes</v>
      </c>
      <c r="G126" s="10" t="str">
        <f>VLOOKUP($A126,'Institution Evaluation'!$A$56:$K$346,7,0)&amp;""</f>
        <v>Yes</v>
      </c>
      <c r="H126" s="10" t="str">
        <f>VLOOKUP($A126,'Institution Evaluation'!$A$56:$K$346,8,0)&amp;""</f>
        <v/>
      </c>
      <c r="I126" s="10" t="str">
        <f>VLOOKUP($A126,'Institution Evaluation'!$A$56:$K$346,9,0)&amp;""</f>
        <v>Standard Importance</v>
      </c>
      <c r="J126" s="10" t="str">
        <f>VLOOKUP($A126,'Institution Evaluation'!$A$56:$K$346,10,0)&amp;""</f>
        <v/>
      </c>
      <c r="K126" s="10">
        <f t="shared" si="19"/>
        <v>10</v>
      </c>
      <c r="L126" s="114">
        <f>IF($E126="Not Scored", "N/A",IF(AND($D126='Auto Responses'!$J$27,$H126=""),"N/A",IF(AND($D126='Auto Responses'!$J$27,$H126='Auto Responses'!$J$7),1,IF(AND($D126='Auto Responses'!$J$27,$H126='Auto Responses'!$J$8),0,IF(OR($F126=$G126,$H126='Auto Responses'!$J$7),1,0)))))</f>
        <v>1</v>
      </c>
      <c r="M126" s="10" t="str">
        <f>VLOOKUP($A126,'Institution Evaluation'!$A$56:$K$346,10,0)&amp;""</f>
        <v/>
      </c>
      <c r="N126" s="10">
        <f t="shared" si="20"/>
        <v>0</v>
      </c>
      <c r="O126" s="114">
        <f t="shared" si="24"/>
        <v>10</v>
      </c>
      <c r="P126" s="114">
        <f t="shared" si="25"/>
        <v>10</v>
      </c>
      <c r="Q126" s="114">
        <f t="shared" si="14"/>
        <v>0</v>
      </c>
      <c r="R126" s="114">
        <f t="shared" si="22"/>
        <v>0</v>
      </c>
      <c r="S126" s="114">
        <f t="shared" si="15"/>
        <v>0</v>
      </c>
      <c r="T126" s="114">
        <f t="shared" si="16"/>
        <v>0</v>
      </c>
      <c r="U126" s="114">
        <f t="shared" si="23"/>
        <v>44</v>
      </c>
      <c r="V126" s="114">
        <f t="shared" si="17"/>
        <v>0</v>
      </c>
    </row>
    <row r="127" spans="1:22" ht="60">
      <c r="A127" s="10" t="str">
        <f>Questions!$A128</f>
        <v>DATA-17</v>
      </c>
      <c r="B127" s="10" t="str">
        <f t="shared" si="18"/>
        <v>DATA</v>
      </c>
      <c r="C127" s="10" t="str">
        <f>VLOOKUP($A127,Questions!$A$3:$L$333,2,0)&amp;""</f>
        <v>Does your staff (or third party) have access to institutional data (e.g., financial, PHI, or other sensitive information) through any means?</v>
      </c>
      <c r="D127" s="10" t="str">
        <f>VLOOKUP($A127,Questions!$A$3:$L$333,11,0)&amp;""</f>
        <v/>
      </c>
      <c r="E127" s="10" t="str">
        <f>VLOOKUP($A127,Questions!$A$3:$L$333,12,0)&amp;""</f>
        <v>Product</v>
      </c>
      <c r="F127" s="10" t="str">
        <f>VLOOKUP($A127,'Institution Evaluation'!$A$56:$K$346,3,0)&amp;""</f>
        <v>no</v>
      </c>
      <c r="G127" s="10" t="str">
        <f>VLOOKUP($A127,'Institution Evaluation'!$A$56:$K$346,7,0)&amp;""</f>
        <v>Yes</v>
      </c>
      <c r="H127" s="10" t="str">
        <f>VLOOKUP($A127,'Institution Evaluation'!$A$56:$K$346,8,0)&amp;""</f>
        <v/>
      </c>
      <c r="I127" s="10" t="str">
        <f>VLOOKUP($A127,'Institution Evaluation'!$A$56:$K$346,9,0)&amp;""</f>
        <v>Standard Importance</v>
      </c>
      <c r="J127" s="10" t="str">
        <f>VLOOKUP($A127,'Institution Evaluation'!$A$56:$K$346,10,0)&amp;""</f>
        <v/>
      </c>
      <c r="K127" s="10">
        <f t="shared" si="19"/>
        <v>10</v>
      </c>
      <c r="L127" s="114">
        <f>IF($E127="Not Scored", "N/A",IF(AND($D127='Auto Responses'!$J$27,$H127=""),"N/A",IF(AND($D127='Auto Responses'!$J$27,$H127='Auto Responses'!$J$7),1,IF(AND($D127='Auto Responses'!$J$27,$H127='Auto Responses'!$J$8),0,IF(OR($F127=$G127,$H127='Auto Responses'!$J$7),1,0)))))</f>
        <v>0</v>
      </c>
      <c r="M127" s="10" t="str">
        <f>VLOOKUP($A127,'Institution Evaluation'!$A$56:$K$346,10,0)&amp;""</f>
        <v/>
      </c>
      <c r="N127" s="10">
        <f t="shared" si="20"/>
        <v>0</v>
      </c>
      <c r="O127" s="114">
        <f t="shared" si="24"/>
        <v>10</v>
      </c>
      <c r="P127" s="114">
        <f t="shared" si="25"/>
        <v>0</v>
      </c>
      <c r="Q127" s="114">
        <f t="shared" si="14"/>
        <v>0</v>
      </c>
      <c r="R127" s="114">
        <f t="shared" si="22"/>
        <v>0</v>
      </c>
      <c r="S127" s="114">
        <f t="shared" si="15"/>
        <v>0</v>
      </c>
      <c r="T127" s="114">
        <f t="shared" si="16"/>
        <v>0</v>
      </c>
      <c r="U127" s="114">
        <f t="shared" si="23"/>
        <v>44</v>
      </c>
      <c r="V127" s="114">
        <f t="shared" si="17"/>
        <v>0</v>
      </c>
    </row>
    <row r="128" spans="1:22" ht="60">
      <c r="A128" s="10" t="str">
        <f>Questions!$A129</f>
        <v>DATA-18</v>
      </c>
      <c r="B128" s="10" t="str">
        <f t="shared" si="18"/>
        <v>DATA</v>
      </c>
      <c r="C128" s="10" t="str">
        <f>VLOOKUP($A128,Questions!$A$3:$L$333,2,0)&amp;""</f>
        <v>Do you have a documented and currently implemented strategy for securing employee workstations when they work remotely (i.e., not in a trusted computing environment)?</v>
      </c>
      <c r="D128" s="10" t="str">
        <f>VLOOKUP($A128,Questions!$A$3:$L$333,11,0)&amp;""</f>
        <v/>
      </c>
      <c r="E128" s="10" t="str">
        <f>VLOOKUP($A128,Questions!$A$3:$L$333,12,0)&amp;""</f>
        <v>Product</v>
      </c>
      <c r="F128" s="10" t="str">
        <f>VLOOKUP($A128,'Institution Evaluation'!$A$56:$K$346,3,0)&amp;""</f>
        <v>yes</v>
      </c>
      <c r="G128" s="10" t="str">
        <f>VLOOKUP($A128,'Institution Evaluation'!$A$56:$K$346,7,0)&amp;""</f>
        <v>Yes</v>
      </c>
      <c r="H128" s="10" t="str">
        <f>VLOOKUP($A128,'Institution Evaluation'!$A$56:$K$346,8,0)&amp;""</f>
        <v/>
      </c>
      <c r="I128" s="10" t="str">
        <f>VLOOKUP($A128,'Institution Evaluation'!$A$56:$K$346,9,0)&amp;""</f>
        <v>Standard Importance</v>
      </c>
      <c r="J128" s="10" t="str">
        <f>VLOOKUP($A128,'Institution Evaluation'!$A$56:$K$346,10,0)&amp;""</f>
        <v/>
      </c>
      <c r="K128" s="10">
        <f t="shared" si="19"/>
        <v>10</v>
      </c>
      <c r="L128" s="114">
        <f>IF($E128="Not Scored", "N/A",IF(AND($D128='Auto Responses'!$J$27,$H128=""),"N/A",IF(AND($D128='Auto Responses'!$J$27,$H128='Auto Responses'!$J$7),1,IF(AND($D128='Auto Responses'!$J$27,$H128='Auto Responses'!$J$8),0,IF(OR($F128=$G128,$H128='Auto Responses'!$J$7),1,0)))))</f>
        <v>1</v>
      </c>
      <c r="M128" s="10" t="str">
        <f>VLOOKUP($A128,'Institution Evaluation'!$A$56:$K$346,10,0)&amp;""</f>
        <v/>
      </c>
      <c r="N128" s="10">
        <f t="shared" si="20"/>
        <v>0</v>
      </c>
      <c r="O128" s="114">
        <f t="shared" si="24"/>
        <v>10</v>
      </c>
      <c r="P128" s="114">
        <f t="shared" si="25"/>
        <v>10</v>
      </c>
      <c r="Q128" s="114">
        <f t="shared" si="14"/>
        <v>0</v>
      </c>
      <c r="R128" s="114">
        <f t="shared" si="22"/>
        <v>0</v>
      </c>
      <c r="S128" s="114">
        <f t="shared" si="15"/>
        <v>0</v>
      </c>
      <c r="T128" s="114">
        <f t="shared" si="16"/>
        <v>0</v>
      </c>
      <c r="U128" s="114">
        <f t="shared" si="23"/>
        <v>44</v>
      </c>
      <c r="V128" s="114">
        <f t="shared" si="17"/>
        <v>0</v>
      </c>
    </row>
    <row r="129" spans="1:22" ht="60">
      <c r="A129" s="10" t="str">
        <f>Questions!$A130</f>
        <v>DATA-19</v>
      </c>
      <c r="B129" s="10" t="str">
        <f t="shared" si="18"/>
        <v>DATA</v>
      </c>
      <c r="C129" s="10" t="str">
        <f>VLOOKUP($A129,Questions!$A$3:$L$333,2,0)&amp;""</f>
        <v>Does the environment provide for dedicated single-tenant capabilities? If not, describe how your solution or environment separates data from different customers (e.g., logically, physically, single tenancy, multi-tenancy).</v>
      </c>
      <c r="D129" s="10" t="str">
        <f>VLOOKUP($A129,Questions!$A$3:$L$333,11,0)&amp;""</f>
        <v/>
      </c>
      <c r="E129" s="10" t="str">
        <f>VLOOKUP($A129,Questions!$A$3:$L$333,12,0)&amp;""</f>
        <v>Product</v>
      </c>
      <c r="F129" s="10" t="str">
        <f>VLOOKUP($A129,'Institution Evaluation'!$A$56:$K$346,3,0)&amp;""</f>
        <v>yes</v>
      </c>
      <c r="G129" s="10" t="str">
        <f>VLOOKUP($A129,'Institution Evaluation'!$A$56:$K$346,7,0)&amp;""</f>
        <v>Yes</v>
      </c>
      <c r="H129" s="10" t="str">
        <f>VLOOKUP($A129,'Institution Evaluation'!$A$56:$K$346,8,0)&amp;""</f>
        <v/>
      </c>
      <c r="I129" s="10" t="str">
        <f>VLOOKUP($A129,'Institution Evaluation'!$A$56:$K$346,9,0)&amp;""</f>
        <v>Minor Importance</v>
      </c>
      <c r="J129" s="10" t="str">
        <f>VLOOKUP($A129,'Institution Evaluation'!$A$56:$K$346,10,0)&amp;""</f>
        <v/>
      </c>
      <c r="K129" s="10">
        <f t="shared" si="19"/>
        <v>5</v>
      </c>
      <c r="L129" s="114">
        <f>IF($E129="Not Scored", "N/A",IF(AND($D129='Auto Responses'!$J$27,$H129=""),"N/A",IF(AND($D129='Auto Responses'!$J$27,$H129='Auto Responses'!$J$7),1,IF(AND($D129='Auto Responses'!$J$27,$H129='Auto Responses'!$J$8),0,IF(OR($F129=$G129,$H129='Auto Responses'!$J$7),1,0)))))</f>
        <v>1</v>
      </c>
      <c r="M129" s="10" t="str">
        <f>VLOOKUP($A129,'Institution Evaluation'!$A$56:$K$346,10,0)&amp;""</f>
        <v/>
      </c>
      <c r="N129" s="10">
        <f t="shared" si="20"/>
        <v>0</v>
      </c>
      <c r="O129" s="114">
        <f t="shared" si="24"/>
        <v>5</v>
      </c>
      <c r="P129" s="114">
        <f t="shared" si="25"/>
        <v>5</v>
      </c>
      <c r="Q129" s="114">
        <f t="shared" si="14"/>
        <v>0</v>
      </c>
      <c r="R129" s="114">
        <f t="shared" si="22"/>
        <v>0</v>
      </c>
      <c r="S129" s="114">
        <f t="shared" si="15"/>
        <v>0</v>
      </c>
      <c r="T129" s="114">
        <f t="shared" si="16"/>
        <v>0</v>
      </c>
      <c r="U129" s="114">
        <f t="shared" si="23"/>
        <v>44</v>
      </c>
      <c r="V129" s="114">
        <f t="shared" si="17"/>
        <v>0</v>
      </c>
    </row>
    <row r="130" spans="1:22" ht="60">
      <c r="A130" s="10" t="str">
        <f>Questions!$A131</f>
        <v>DATA-20</v>
      </c>
      <c r="B130" s="10" t="str">
        <f t="shared" si="18"/>
        <v>DATA</v>
      </c>
      <c r="C130" s="10" t="str">
        <f>VLOOKUP($A130,Questions!$A$3:$L$333,2,0)&amp;""</f>
        <v>Are ownership rights to all data, inputs, outputs, and metadata retained by the institution?</v>
      </c>
      <c r="D130" s="10" t="str">
        <f>VLOOKUP($A130,Questions!$A$3:$L$333,11,0)&amp;""</f>
        <v/>
      </c>
      <c r="E130" s="10" t="str">
        <f>VLOOKUP($A130,Questions!$A$3:$L$333,12,0)&amp;""</f>
        <v>Product</v>
      </c>
      <c r="F130" s="10" t="str">
        <f>VLOOKUP($A130,'Institution Evaluation'!$A$56:$K$346,3,0)&amp;""</f>
        <v>yes</v>
      </c>
      <c r="G130" s="10" t="str">
        <f>VLOOKUP($A130,'Institution Evaluation'!$A$56:$K$346,7,0)&amp;""</f>
        <v>Yes</v>
      </c>
      <c r="H130" s="10" t="str">
        <f>VLOOKUP($A130,'Institution Evaluation'!$A$56:$K$346,8,0)&amp;""</f>
        <v/>
      </c>
      <c r="I130" s="10" t="str">
        <f>VLOOKUP($A130,'Institution Evaluation'!$A$56:$K$346,9,0)&amp;""</f>
        <v>Minor Importance</v>
      </c>
      <c r="J130" s="10" t="str">
        <f>VLOOKUP($A130,'Institution Evaluation'!$A$56:$K$346,10,0)&amp;""</f>
        <v/>
      </c>
      <c r="K130" s="10">
        <f t="shared" si="19"/>
        <v>5</v>
      </c>
      <c r="L130" s="114">
        <f>IF($E130="Not Scored", "N/A",IF(AND($D130='Auto Responses'!$J$27,$H130=""),"N/A",IF(AND($D130='Auto Responses'!$J$27,$H130='Auto Responses'!$J$7),1,IF(AND($D130='Auto Responses'!$J$27,$H130='Auto Responses'!$J$8),0,IF(OR($F130=$G130,$H130='Auto Responses'!$J$7),1,0)))))</f>
        <v>1</v>
      </c>
      <c r="M130" s="10" t="str">
        <f>VLOOKUP($A130,'Institution Evaluation'!$A$56:$K$346,10,0)&amp;""</f>
        <v/>
      </c>
      <c r="N130" s="10">
        <f t="shared" si="20"/>
        <v>0</v>
      </c>
      <c r="O130" s="114">
        <f t="shared" si="24"/>
        <v>5</v>
      </c>
      <c r="P130" s="114">
        <f t="shared" si="25"/>
        <v>5</v>
      </c>
      <c r="Q130" s="114">
        <f t="shared" ref="Q130:Q189" si="26">IF(M130="TRUE",1,0)</f>
        <v>0</v>
      </c>
      <c r="R130" s="114">
        <f t="shared" si="22"/>
        <v>0</v>
      </c>
      <c r="S130" s="114">
        <f t="shared" ref="S130:S189" si="27">IF(Q130=0,0,R130)</f>
        <v>0</v>
      </c>
      <c r="T130" s="114">
        <f t="shared" ref="T130:T189" si="28">IF(N130=1,1,0)</f>
        <v>0</v>
      </c>
      <c r="U130" s="114">
        <f t="shared" si="23"/>
        <v>44</v>
      </c>
      <c r="V130" s="114">
        <f t="shared" ref="V130:V189" si="29">IF(T130=0,0,U130)</f>
        <v>0</v>
      </c>
    </row>
    <row r="131" spans="1:22" ht="60">
      <c r="A131" s="10" t="str">
        <f>Questions!$A132</f>
        <v>DATA-21</v>
      </c>
      <c r="B131" s="10" t="str">
        <f t="shared" ref="B131:B190" si="30">LEFT(A131,4)</f>
        <v>DATA</v>
      </c>
      <c r="C131" s="10" t="str">
        <f>VLOOKUP($A131,Questions!$A$3:$L$333,2,0)&amp;""</f>
        <v>In the event of imminent bankruptcy, closing of business, or retirement of service, will you provide 90 days for customers to get their data out of the system and migrate applications?</v>
      </c>
      <c r="D131" s="10" t="str">
        <f>VLOOKUP($A131,Questions!$A$3:$L$333,11,0)&amp;""</f>
        <v/>
      </c>
      <c r="E131" s="10" t="str">
        <f>VLOOKUP($A131,Questions!$A$3:$L$333,12,0)&amp;""</f>
        <v>Product</v>
      </c>
      <c r="F131" s="10" t="str">
        <f>VLOOKUP($A131,'Institution Evaluation'!$A$56:$K$346,3,0)&amp;""</f>
        <v>yes</v>
      </c>
      <c r="G131" s="10" t="str">
        <f>VLOOKUP($A131,'Institution Evaluation'!$A$56:$K$346,7,0)&amp;""</f>
        <v>Yes</v>
      </c>
      <c r="H131" s="10" t="str">
        <f>VLOOKUP($A131,'Institution Evaluation'!$A$56:$K$346,8,0)&amp;""</f>
        <v/>
      </c>
      <c r="I131" s="10" t="str">
        <f>VLOOKUP($A131,'Institution Evaluation'!$A$56:$K$346,9,0)&amp;""</f>
        <v>Minor Importance</v>
      </c>
      <c r="J131" s="10" t="str">
        <f>VLOOKUP($A131,'Institution Evaluation'!$A$56:$K$346,10,0)&amp;""</f>
        <v/>
      </c>
      <c r="K131" s="10">
        <f t="shared" ref="K131:K190" si="31">IF($I131="Critical Importance",20,IF($I131="Minor Importance",5,10))</f>
        <v>5</v>
      </c>
      <c r="L131" s="114">
        <f>IF($E131="Not Scored", "N/A",IF(AND($D131='Auto Responses'!$J$27,$H131=""),"N/A",IF(AND($D131='Auto Responses'!$J$27,$H131='Auto Responses'!$J$7),1,IF(AND($D131='Auto Responses'!$J$27,$H131='Auto Responses'!$J$8),0,IF(OR($F131=$G131,$H131='Auto Responses'!$J$7),1,0)))))</f>
        <v>1</v>
      </c>
      <c r="M131" s="10" t="str">
        <f>VLOOKUP($A131,'Institution Evaluation'!$A$56:$K$346,10,0)&amp;""</f>
        <v/>
      </c>
      <c r="N131" s="10">
        <f t="shared" ref="N131:N190" si="32">IF($J131="Critical Importance",1,IF(AND($J131="",$I131="Critical Importance"),1,0))</f>
        <v>0</v>
      </c>
      <c r="O131" s="114">
        <f t="shared" ref="O131:O175" si="33">IF($E131="Not Scored","N/A",IF($J131="",$K131,IF($J131="Minor Importance",5,IF($J131="Standard Importance",10,IF($J131="Critical Importance",20,0)))))</f>
        <v>5</v>
      </c>
      <c r="P131" s="114">
        <f t="shared" ref="P131:P190" si="34">IF(OR($O131="N/A",$L131="N/A"),"N/A",$O131*$L131)</f>
        <v>5</v>
      </c>
      <c r="Q131" s="114">
        <f t="shared" si="26"/>
        <v>0</v>
      </c>
      <c r="R131" s="114">
        <f t="shared" si="22"/>
        <v>0</v>
      </c>
      <c r="S131" s="114">
        <f t="shared" si="27"/>
        <v>0</v>
      </c>
      <c r="T131" s="114">
        <f t="shared" si="28"/>
        <v>0</v>
      </c>
      <c r="U131" s="114">
        <f t="shared" si="23"/>
        <v>44</v>
      </c>
      <c r="V131" s="114">
        <f t="shared" si="29"/>
        <v>0</v>
      </c>
    </row>
    <row r="132" spans="1:22" ht="60">
      <c r="A132" s="10" t="str">
        <f>Questions!$A133</f>
        <v>DATA-22</v>
      </c>
      <c r="B132" s="10" t="str">
        <f t="shared" si="30"/>
        <v>DATA</v>
      </c>
      <c r="C132" s="10" t="str">
        <f>VLOOKUP($A132,Questions!$A$3:$L$333,2,0)&amp;""</f>
        <v>Are involatile backup copies made according to predefined schedules and securely stored and protected?</v>
      </c>
      <c r="D132" s="10" t="str">
        <f>VLOOKUP($A132,Questions!$A$3:$L$333,11,0)&amp;""</f>
        <v/>
      </c>
      <c r="E132" s="10" t="str">
        <f>VLOOKUP($A132,Questions!$A$3:$L$333,12,0)&amp;""</f>
        <v>Product</v>
      </c>
      <c r="F132" s="10" t="str">
        <f>VLOOKUP($A132,'Institution Evaluation'!$A$56:$K$346,3,0)&amp;""</f>
        <v>yes</v>
      </c>
      <c r="G132" s="10" t="str">
        <f>VLOOKUP($A132,'Institution Evaluation'!$A$56:$K$346,7,0)&amp;""</f>
        <v>Yes</v>
      </c>
      <c r="H132" s="10" t="str">
        <f>VLOOKUP($A132,'Institution Evaluation'!$A$56:$K$346,8,0)&amp;""</f>
        <v/>
      </c>
      <c r="I132" s="10" t="str">
        <f>VLOOKUP($A132,'Institution Evaluation'!$A$56:$K$346,9,0)&amp;""</f>
        <v>Minor Importance</v>
      </c>
      <c r="J132" s="10" t="str">
        <f>VLOOKUP($A132,'Institution Evaluation'!$A$56:$K$346,10,0)&amp;""</f>
        <v/>
      </c>
      <c r="K132" s="10">
        <f t="shared" si="31"/>
        <v>5</v>
      </c>
      <c r="L132" s="114">
        <f>IF($E132="Not Scored", "N/A",IF(AND($D132='Auto Responses'!$J$27,$H132=""),"N/A",IF(AND($D132='Auto Responses'!$J$27,$H132='Auto Responses'!$J$7),1,IF(AND($D132='Auto Responses'!$J$27,$H132='Auto Responses'!$J$8),0,IF(OR($F132=$G132,$H132='Auto Responses'!$J$7),1,0)))))</f>
        <v>1</v>
      </c>
      <c r="M132" s="10" t="str">
        <f>VLOOKUP($A132,'Institution Evaluation'!$A$56:$K$346,10,0)&amp;""</f>
        <v/>
      </c>
      <c r="N132" s="10">
        <f t="shared" si="32"/>
        <v>0</v>
      </c>
      <c r="O132" s="114">
        <f t="shared" si="33"/>
        <v>5</v>
      </c>
      <c r="P132" s="114">
        <f t="shared" si="34"/>
        <v>5</v>
      </c>
      <c r="Q132" s="114">
        <f t="shared" si="26"/>
        <v>0</v>
      </c>
      <c r="R132" s="114">
        <f t="shared" si="22"/>
        <v>0</v>
      </c>
      <c r="S132" s="114">
        <f t="shared" si="27"/>
        <v>0</v>
      </c>
      <c r="T132" s="114">
        <f t="shared" si="28"/>
        <v>0</v>
      </c>
      <c r="U132" s="114">
        <f t="shared" si="23"/>
        <v>44</v>
      </c>
      <c r="V132" s="114">
        <f t="shared" si="29"/>
        <v>0</v>
      </c>
    </row>
    <row r="133" spans="1:22" ht="60">
      <c r="A133" s="10" t="str">
        <f>Questions!$A125</f>
        <v>DATA-14</v>
      </c>
      <c r="B133" s="10" t="str">
        <f t="shared" si="30"/>
        <v>DATA</v>
      </c>
      <c r="C133" s="10" t="str">
        <f>VLOOKUP($A133,Questions!$A$3:$L$333,2,0)&amp;""</f>
        <v>Are data backups encrypted?</v>
      </c>
      <c r="D133" s="10" t="str">
        <f>VLOOKUP($A133,Questions!$A$3:$L$333,11,0)&amp;""</f>
        <v/>
      </c>
      <c r="E133" s="10" t="str">
        <f>VLOOKUP($A133,Questions!$A$3:$L$333,12,0)&amp;""</f>
        <v>Product</v>
      </c>
      <c r="F133" s="10" t="str">
        <f>VLOOKUP($A133,'Institution Evaluation'!$A$56:$K$346,3,0)&amp;""</f>
        <v>yes</v>
      </c>
      <c r="G133" s="10" t="str">
        <f>VLOOKUP($A133,'Institution Evaluation'!$A$56:$K$346,7,0)&amp;""</f>
        <v>Yes</v>
      </c>
      <c r="H133" s="10" t="str">
        <f>VLOOKUP($A133,'Institution Evaluation'!$A$56:$K$346,8,0)&amp;""</f>
        <v/>
      </c>
      <c r="I133" s="10" t="str">
        <f>VLOOKUP($A133,'Institution Evaluation'!$A$56:$K$346,9,0)&amp;""</f>
        <v>Minor Importance</v>
      </c>
      <c r="J133" s="10" t="str">
        <f>VLOOKUP($A133,'Institution Evaluation'!$A$56:$K$346,10,0)&amp;""</f>
        <v/>
      </c>
      <c r="K133" s="10">
        <f t="shared" si="31"/>
        <v>5</v>
      </c>
      <c r="L133" s="114">
        <f>IF($E133="Not Scored", "N/A",IF(AND($D133='Auto Responses'!$J$27,$H133=""),"N/A",IF(AND($D133='Auto Responses'!$J$27,$H133='Auto Responses'!$J$7),1,IF(AND($D133='Auto Responses'!$J$27,$H133='Auto Responses'!$J$8),0,IF(OR($F133=$G133,$H133='Auto Responses'!$J$7),1,0)))))</f>
        <v>1</v>
      </c>
      <c r="M133" s="10" t="str">
        <f>VLOOKUP($A133,'Institution Evaluation'!$A$56:$K$346,10,0)&amp;""</f>
        <v/>
      </c>
      <c r="N133" s="10">
        <f t="shared" si="32"/>
        <v>0</v>
      </c>
      <c r="O133" s="114">
        <f t="shared" si="33"/>
        <v>5</v>
      </c>
      <c r="P133" s="114">
        <f t="shared" si="34"/>
        <v>5</v>
      </c>
      <c r="Q133" s="114">
        <f t="shared" si="26"/>
        <v>0</v>
      </c>
      <c r="R133" s="114">
        <f t="shared" ref="R133:R196" si="35">R132+Q133</f>
        <v>0</v>
      </c>
      <c r="S133" s="114">
        <f t="shared" si="27"/>
        <v>0</v>
      </c>
      <c r="T133" s="114">
        <f t="shared" si="28"/>
        <v>0</v>
      </c>
      <c r="U133" s="114">
        <f t="shared" ref="U133:U196" si="36">U132+T133</f>
        <v>44</v>
      </c>
      <c r="V133" s="114">
        <f t="shared" si="29"/>
        <v>0</v>
      </c>
    </row>
    <row r="134" spans="1:22" ht="75">
      <c r="A134" s="10" t="str">
        <f>Questions!$A134</f>
        <v>DATA-23</v>
      </c>
      <c r="B134" s="10" t="str">
        <f t="shared" si="30"/>
        <v>DATA</v>
      </c>
      <c r="C134" s="10" t="str">
        <f>VLOOKUP($A134,Questions!$A$3:$L$333,2,0)&amp;""</f>
        <v>Do you have a cryptographic key management process (generation, exchange, storage, safeguards, use, vetting, and replacement) that is documented and currently implemented, for all system components (e.g., database, system, web, etc.)?</v>
      </c>
      <c r="D134" s="10" t="str">
        <f>VLOOKUP($A134,Questions!$A$3:$L$333,11,0)&amp;""</f>
        <v/>
      </c>
      <c r="E134" s="10" t="str">
        <f>VLOOKUP($A134,Questions!$A$3:$L$333,12,0)&amp;""</f>
        <v>Product</v>
      </c>
      <c r="F134" s="10" t="str">
        <f>VLOOKUP($A134,'Institution Evaluation'!$A$56:$K$346,3,0)&amp;""</f>
        <v>yes</v>
      </c>
      <c r="G134" s="10" t="str">
        <f>VLOOKUP($A134,'Institution Evaluation'!$A$56:$K$346,7,0)&amp;""</f>
        <v>Yes</v>
      </c>
      <c r="H134" s="10" t="str">
        <f>VLOOKUP($A134,'Institution Evaluation'!$A$56:$K$346,8,0)&amp;""</f>
        <v/>
      </c>
      <c r="I134" s="10" t="str">
        <f>VLOOKUP($A134,'Institution Evaluation'!$A$56:$K$346,9,0)&amp;""</f>
        <v>Minor Importance</v>
      </c>
      <c r="J134" s="10" t="str">
        <f>VLOOKUP($A134,'Institution Evaluation'!$A$56:$K$346,10,0)&amp;""</f>
        <v/>
      </c>
      <c r="K134" s="10">
        <f t="shared" si="31"/>
        <v>5</v>
      </c>
      <c r="L134" s="114">
        <f>IF($E134="Not Scored", "N/A",IF(AND($D134='Auto Responses'!$J$27,$H134=""),"N/A",IF(AND($D134='Auto Responses'!$J$27,$H134='Auto Responses'!$J$7),1,IF(AND($D134='Auto Responses'!$J$27,$H134='Auto Responses'!$J$8),0,IF(OR($F134=$G134,$H134='Auto Responses'!$J$7),1,0)))))</f>
        <v>1</v>
      </c>
      <c r="M134" s="10" t="str">
        <f>VLOOKUP($A134,'Institution Evaluation'!$A$56:$K$346,10,0)&amp;""</f>
        <v/>
      </c>
      <c r="N134" s="10">
        <f t="shared" si="32"/>
        <v>0</v>
      </c>
      <c r="O134" s="114">
        <f t="shared" si="33"/>
        <v>5</v>
      </c>
      <c r="P134" s="114">
        <f t="shared" si="34"/>
        <v>5</v>
      </c>
      <c r="Q134" s="114">
        <f t="shared" si="26"/>
        <v>0</v>
      </c>
      <c r="R134" s="114">
        <f t="shared" si="35"/>
        <v>0</v>
      </c>
      <c r="S134" s="114">
        <f t="shared" si="27"/>
        <v>0</v>
      </c>
      <c r="T134" s="114">
        <f t="shared" si="28"/>
        <v>0</v>
      </c>
      <c r="U134" s="114">
        <f t="shared" si="36"/>
        <v>44</v>
      </c>
      <c r="V134" s="114">
        <f t="shared" si="29"/>
        <v>0</v>
      </c>
    </row>
    <row r="135" spans="1:22" ht="60">
      <c r="A135" s="10" t="str">
        <f>Questions!$A135</f>
        <v>DCTR-01</v>
      </c>
      <c r="B135" s="10" t="str">
        <f t="shared" si="30"/>
        <v>DCTR</v>
      </c>
      <c r="C135" s="10" t="str">
        <f>VLOOKUP($A135,Questions!$A$3:$L$333,2,0)&amp;""</f>
        <v>Select your hosting option.</v>
      </c>
      <c r="D135" s="10" t="str">
        <f>VLOOKUP($A135,Questions!$A$3:$L$333,11,0)&amp;""</f>
        <v/>
      </c>
      <c r="E135" s="10" t="str">
        <f>VLOOKUP($A135,Questions!$A$3:$L$333,12,0)&amp;""</f>
        <v>Not scored</v>
      </c>
      <c r="F135" s="10" t="str">
        <f>VLOOKUP($A135,'Institution Evaluation'!$A$56:$K$346,3,0)&amp;""</f>
        <v>Hybrid/Other</v>
      </c>
      <c r="G135" s="10" t="str">
        <f>VLOOKUP($A135,'Institution Evaluation'!$A$56:$K$346,7,0)&amp;""</f>
        <v>Not scored</v>
      </c>
      <c r="H135" s="10" t="str">
        <f>VLOOKUP($A135,'Institution Evaluation'!$A$56:$K$346,8,0)&amp;""</f>
        <v/>
      </c>
      <c r="I135" s="10" t="str">
        <f>VLOOKUP($A135,'Institution Evaluation'!$A$56:$K$346,9,0)&amp;""</f>
        <v/>
      </c>
      <c r="J135" s="10" t="str">
        <f>VLOOKUP($A135,'Institution Evaluation'!$A$56:$K$346,10,0)&amp;""</f>
        <v/>
      </c>
      <c r="K135" s="10">
        <f t="shared" si="31"/>
        <v>10</v>
      </c>
      <c r="L135" s="114" t="str">
        <f>IF(OR($E135="Not Scored",$F135=""),"N/A",IF(AND($D135='Auto Responses'!$J$27,$H135=""),"N/A",IF(AND($D135='Auto Responses'!$J$27,$H135='Auto Responses'!$J$7),1,IF(AND($D135='Auto Responses'!$J$27,$H135='Auto Responses'!$J$8),0,IF(OR($F135=$G135,$H135='Auto Responses'!$J$7),1,0)))))</f>
        <v>N/A</v>
      </c>
      <c r="M135" s="10" t="str">
        <f>VLOOKUP($A135,'Institution Evaluation'!$A$56:$K$346,10,0)&amp;""</f>
        <v/>
      </c>
      <c r="N135" s="10">
        <f t="shared" si="32"/>
        <v>0</v>
      </c>
      <c r="O135" s="114" t="str">
        <f>IF(OR($F$17="No",$E135="Not Scored",$F135=""),"N/A",IF($J135="",$K135,IF($J135="Minor Importance",5,IF($J135="Standard Importance",10,IF($J135="Critical Importance",20,0)))))</f>
        <v>N/A</v>
      </c>
      <c r="P135" s="114" t="str">
        <f t="shared" si="34"/>
        <v>N/A</v>
      </c>
      <c r="Q135" s="114">
        <f t="shared" si="26"/>
        <v>0</v>
      </c>
      <c r="R135" s="114">
        <f t="shared" si="35"/>
        <v>0</v>
      </c>
      <c r="S135" s="114">
        <f t="shared" si="27"/>
        <v>0</v>
      </c>
      <c r="T135" s="114">
        <f t="shared" si="28"/>
        <v>0</v>
      </c>
      <c r="U135" s="114">
        <f t="shared" si="36"/>
        <v>44</v>
      </c>
      <c r="V135" s="114">
        <f t="shared" si="29"/>
        <v>0</v>
      </c>
    </row>
    <row r="136" spans="1:22" ht="60">
      <c r="A136" s="10" t="str">
        <f>Questions!$A136</f>
        <v>DCTR-02</v>
      </c>
      <c r="B136" s="10" t="str">
        <f t="shared" si="30"/>
        <v>DCTR</v>
      </c>
      <c r="C136" s="10" t="str">
        <f>VLOOKUP($A136,Questions!$A$3:$L$333,2,0)&amp;""</f>
        <v>Is a SOC 2 Type 2 report available for the hosting environment?</v>
      </c>
      <c r="D136" s="10" t="str">
        <f>VLOOKUP($A136,Questions!$A$3:$L$333,11,0)&amp;""</f>
        <v/>
      </c>
      <c r="E136" s="10" t="str">
        <f>VLOOKUP($A136,Questions!$A$3:$L$333,12,0)&amp;""</f>
        <v>Infrastructure</v>
      </c>
      <c r="F136" s="10" t="str">
        <f>VLOOKUP($A136,'Institution Evaluation'!$A$56:$K$346,3,0)&amp;""</f>
        <v>yes</v>
      </c>
      <c r="G136" s="10" t="str">
        <f>VLOOKUP($A136,'Institution Evaluation'!$A$56:$K$346,7,0)&amp;""</f>
        <v>Yes</v>
      </c>
      <c r="H136" s="10" t="str">
        <f>VLOOKUP($A136,'Institution Evaluation'!$A$56:$K$346,8,0)&amp;""</f>
        <v/>
      </c>
      <c r="I136" s="10" t="str">
        <f>VLOOKUP($A136,'Institution Evaluation'!$A$56:$K$346,9,0)&amp;""</f>
        <v>Standard Importance</v>
      </c>
      <c r="J136" s="10" t="str">
        <f>VLOOKUP($A136,'Institution Evaluation'!$A$56:$K$346,10,0)&amp;""</f>
        <v/>
      </c>
      <c r="K136" s="10">
        <f t="shared" si="31"/>
        <v>10</v>
      </c>
      <c r="L136" s="114">
        <f>IF(OR($E136="Not Scored",$F136=""),"N/A",IF(AND($D136='Auto Responses'!$J$27,$H136=""),"N/A",IF(AND($D136='Auto Responses'!$J$27,$H136='Auto Responses'!$J$7),1,IF(AND($D136='Auto Responses'!$J$27,$H136='Auto Responses'!$J$8),0,IF(OR($F136=$G136,$H136='Auto Responses'!$J$7),1,0)))))</f>
        <v>1</v>
      </c>
      <c r="M136" s="10" t="str">
        <f>VLOOKUP($A136,'Institution Evaluation'!$A$56:$K$346,10,0)&amp;""</f>
        <v/>
      </c>
      <c r="N136" s="10">
        <f t="shared" si="32"/>
        <v>0</v>
      </c>
      <c r="O136" s="114">
        <f t="shared" ref="O136:O150" si="37">IF(OR($F$17="No",$E136="Not Scored",$F136=""),"N/A",IF($J136="",$K136,IF($J136="Minor Importance",5,IF($J136="Standard Importance",10,IF($J136="Critical Importance",20,0)))))</f>
        <v>10</v>
      </c>
      <c r="P136" s="114">
        <f t="shared" si="34"/>
        <v>10</v>
      </c>
      <c r="Q136" s="114">
        <f t="shared" si="26"/>
        <v>0</v>
      </c>
      <c r="R136" s="114">
        <f t="shared" si="35"/>
        <v>0</v>
      </c>
      <c r="S136" s="114">
        <f t="shared" si="27"/>
        <v>0</v>
      </c>
      <c r="T136" s="114">
        <f t="shared" si="28"/>
        <v>0</v>
      </c>
      <c r="U136" s="114">
        <f t="shared" si="36"/>
        <v>44</v>
      </c>
      <c r="V136" s="114">
        <f t="shared" si="29"/>
        <v>0</v>
      </c>
    </row>
    <row r="137" spans="1:22" ht="60">
      <c r="A137" s="10" t="str">
        <f>Questions!$A137</f>
        <v>DCTR-03</v>
      </c>
      <c r="B137" s="10" t="str">
        <f t="shared" si="30"/>
        <v>DCTR</v>
      </c>
      <c r="C137" s="10" t="str">
        <f>VLOOKUP($A137,Questions!$A$3:$L$333,2,0)&amp;""</f>
        <v>Are you generally able to accommodate storing each institution's data within its geographic region?</v>
      </c>
      <c r="D137" s="10" t="str">
        <f>VLOOKUP($A137,Questions!$A$3:$L$333,11,0)&amp;""</f>
        <v/>
      </c>
      <c r="E137" s="10" t="str">
        <f>VLOOKUP($A137,Questions!$A$3:$L$333,12,0)&amp;""</f>
        <v>Infrastructure</v>
      </c>
      <c r="F137" s="10" t="str">
        <f>VLOOKUP($A137,'Institution Evaluation'!$A$56:$K$346,3,0)&amp;""</f>
        <v>yes</v>
      </c>
      <c r="G137" s="10" t="str">
        <f>VLOOKUP($A137,'Institution Evaluation'!$A$56:$K$346,7,0)&amp;""</f>
        <v>Yes</v>
      </c>
      <c r="H137" s="10" t="str">
        <f>VLOOKUP($A137,'Institution Evaluation'!$A$56:$K$346,8,0)&amp;""</f>
        <v/>
      </c>
      <c r="I137" s="10" t="str">
        <f>VLOOKUP($A137,'Institution Evaluation'!$A$56:$K$346,9,0)&amp;""</f>
        <v>Standard Importance</v>
      </c>
      <c r="J137" s="10" t="str">
        <f>VLOOKUP($A137,'Institution Evaluation'!$A$56:$K$346,10,0)&amp;""</f>
        <v/>
      </c>
      <c r="K137" s="10">
        <f t="shared" si="31"/>
        <v>10</v>
      </c>
      <c r="L137" s="114">
        <f>IF(OR($E137="Not Scored",$F137=""),"N/A",IF(AND($D137='Auto Responses'!$J$27,$H137=""),"N/A",IF(AND($D137='Auto Responses'!$J$27,$H137='Auto Responses'!$J$7),1,IF(AND($D137='Auto Responses'!$J$27,$H137='Auto Responses'!$J$8),0,IF(OR($F137=$G137,$H137='Auto Responses'!$J$7),1,0)))))</f>
        <v>1</v>
      </c>
      <c r="M137" s="10" t="str">
        <f>VLOOKUP($A137,'Institution Evaluation'!$A$56:$K$346,10,0)&amp;""</f>
        <v/>
      </c>
      <c r="N137" s="10">
        <f t="shared" si="32"/>
        <v>0</v>
      </c>
      <c r="O137" s="114">
        <f t="shared" si="37"/>
        <v>10</v>
      </c>
      <c r="P137" s="114">
        <f t="shared" si="34"/>
        <v>10</v>
      </c>
      <c r="Q137" s="114">
        <f t="shared" si="26"/>
        <v>0</v>
      </c>
      <c r="R137" s="114">
        <f t="shared" si="35"/>
        <v>0</v>
      </c>
      <c r="S137" s="114">
        <f t="shared" si="27"/>
        <v>0</v>
      </c>
      <c r="T137" s="114">
        <f t="shared" si="28"/>
        <v>0</v>
      </c>
      <c r="U137" s="114">
        <f t="shared" si="36"/>
        <v>44</v>
      </c>
      <c r="V137" s="114">
        <f t="shared" si="29"/>
        <v>0</v>
      </c>
    </row>
    <row r="138" spans="1:22" ht="60">
      <c r="A138" s="10" t="str">
        <f>Questions!$A138</f>
        <v>DCTR-04</v>
      </c>
      <c r="B138" s="10" t="str">
        <f t="shared" si="30"/>
        <v>DCTR</v>
      </c>
      <c r="C138" s="10" t="str">
        <f>VLOOKUP($A138,Questions!$A$3:$L$333,2,0)&amp;""</f>
        <v>Are the data centers staffed 24 hours a day, seven days a week (i.e., 24 x 7 x 365)?</v>
      </c>
      <c r="D138" s="10" t="str">
        <f>VLOOKUP($A138,Questions!$A$3:$L$333,11,0)&amp;""</f>
        <v/>
      </c>
      <c r="E138" s="10" t="str">
        <f>VLOOKUP($A138,Questions!$A$3:$L$333,12,0)&amp;""</f>
        <v>Infrastructure</v>
      </c>
      <c r="F138" s="10" t="str">
        <f>VLOOKUP($A138,'Institution Evaluation'!$A$56:$K$346,3,0)&amp;""</f>
        <v>yes</v>
      </c>
      <c r="G138" s="10" t="str">
        <f>VLOOKUP($A138,'Institution Evaluation'!$A$56:$K$346,7,0)&amp;""</f>
        <v>Yes</v>
      </c>
      <c r="H138" s="10" t="str">
        <f>VLOOKUP($A138,'Institution Evaluation'!$A$56:$K$346,8,0)&amp;""</f>
        <v/>
      </c>
      <c r="I138" s="10" t="str">
        <f>VLOOKUP($A138,'Institution Evaluation'!$A$56:$K$346,9,0)&amp;""</f>
        <v>Standard Importance</v>
      </c>
      <c r="J138" s="10" t="str">
        <f>VLOOKUP($A138,'Institution Evaluation'!$A$56:$K$346,10,0)&amp;""</f>
        <v/>
      </c>
      <c r="K138" s="10">
        <f t="shared" si="31"/>
        <v>10</v>
      </c>
      <c r="L138" s="114">
        <f>IF(OR($E138="Not Scored",$F138=""),"N/A",IF(AND($D138='Auto Responses'!$J$27,$H138=""),"N/A",IF(AND($D138='Auto Responses'!$J$27,$H138='Auto Responses'!$J$7),1,IF(AND($D138='Auto Responses'!$J$27,$H138='Auto Responses'!$J$8),0,IF(OR($F138=$G138,$H138='Auto Responses'!$J$7),1,0)))))</f>
        <v>1</v>
      </c>
      <c r="M138" s="10" t="str">
        <f>VLOOKUP($A138,'Institution Evaluation'!$A$56:$K$346,10,0)&amp;""</f>
        <v/>
      </c>
      <c r="N138" s="10">
        <f t="shared" si="32"/>
        <v>0</v>
      </c>
      <c r="O138" s="114">
        <f t="shared" si="37"/>
        <v>10</v>
      </c>
      <c r="P138" s="114">
        <f t="shared" si="34"/>
        <v>10</v>
      </c>
      <c r="Q138" s="114">
        <f t="shared" si="26"/>
        <v>0</v>
      </c>
      <c r="R138" s="114">
        <f t="shared" si="35"/>
        <v>0</v>
      </c>
      <c r="S138" s="114">
        <f t="shared" si="27"/>
        <v>0</v>
      </c>
      <c r="T138" s="114">
        <f t="shared" si="28"/>
        <v>0</v>
      </c>
      <c r="U138" s="114">
        <f t="shared" si="36"/>
        <v>44</v>
      </c>
      <c r="V138" s="114">
        <f t="shared" si="29"/>
        <v>0</v>
      </c>
    </row>
    <row r="139" spans="1:22" ht="60">
      <c r="A139" s="10" t="str">
        <f>Questions!$A139</f>
        <v>DCTR-05</v>
      </c>
      <c r="B139" s="10" t="str">
        <f t="shared" si="30"/>
        <v>DCTR</v>
      </c>
      <c r="C139" s="10" t="str">
        <f>VLOOKUP($A139,Questions!$A$3:$L$333,2,0)&amp;""</f>
        <v>Are your servers separated from other companies via a physical barrier, such as a cage or hard walls?</v>
      </c>
      <c r="D139" s="10" t="str">
        <f>VLOOKUP($A139,Questions!$A$3:$L$333,11,0)&amp;""</f>
        <v/>
      </c>
      <c r="E139" s="10" t="str">
        <f>VLOOKUP($A139,Questions!$A$3:$L$333,12,0)&amp;""</f>
        <v>Infrastructure</v>
      </c>
      <c r="F139" s="10" t="str">
        <f>VLOOKUP($A139,'Institution Evaluation'!$A$56:$K$346,3,0)&amp;""</f>
        <v>yes</v>
      </c>
      <c r="G139" s="10" t="str">
        <f>VLOOKUP($A139,'Institution Evaluation'!$A$56:$K$346,7,0)&amp;""</f>
        <v>Yes</v>
      </c>
      <c r="H139" s="10" t="str">
        <f>VLOOKUP($A139,'Institution Evaluation'!$A$56:$K$346,8,0)&amp;""</f>
        <v/>
      </c>
      <c r="I139" s="10" t="str">
        <f>VLOOKUP($A139,'Institution Evaluation'!$A$56:$K$346,9,0)&amp;""</f>
        <v>Standard Importance</v>
      </c>
      <c r="J139" s="10" t="str">
        <f>VLOOKUP($A139,'Institution Evaluation'!$A$56:$K$346,10,0)&amp;""</f>
        <v/>
      </c>
      <c r="K139" s="10">
        <f t="shared" si="31"/>
        <v>10</v>
      </c>
      <c r="L139" s="114">
        <f>IF(OR($E139="Not Scored",$F139=""),"N/A",IF(AND($D139='Auto Responses'!$J$27,$H139=""),"N/A",IF(AND($D139='Auto Responses'!$J$27,$H139='Auto Responses'!$J$7),1,IF(AND($D139='Auto Responses'!$J$27,$H139='Auto Responses'!$J$8),0,IF(OR($F139=$G139,$H139='Auto Responses'!$J$7),1,0)))))</f>
        <v>1</v>
      </c>
      <c r="M139" s="10" t="str">
        <f>VLOOKUP($A139,'Institution Evaluation'!$A$56:$K$346,10,0)&amp;""</f>
        <v/>
      </c>
      <c r="N139" s="10">
        <f t="shared" si="32"/>
        <v>0</v>
      </c>
      <c r="O139" s="114">
        <f t="shared" si="37"/>
        <v>10</v>
      </c>
      <c r="P139" s="114">
        <f t="shared" si="34"/>
        <v>10</v>
      </c>
      <c r="Q139" s="114">
        <f t="shared" si="26"/>
        <v>0</v>
      </c>
      <c r="R139" s="114">
        <f t="shared" si="35"/>
        <v>0</v>
      </c>
      <c r="S139" s="114">
        <f t="shared" si="27"/>
        <v>0</v>
      </c>
      <c r="T139" s="114">
        <f t="shared" si="28"/>
        <v>0</v>
      </c>
      <c r="U139" s="114">
        <f t="shared" si="36"/>
        <v>44</v>
      </c>
      <c r="V139" s="114">
        <f t="shared" si="29"/>
        <v>0</v>
      </c>
    </row>
    <row r="140" spans="1:22" ht="60">
      <c r="A140" s="10" t="str">
        <f>Questions!$A140</f>
        <v>DCTR-06</v>
      </c>
      <c r="B140" s="10" t="str">
        <f t="shared" si="30"/>
        <v>DCTR</v>
      </c>
      <c r="C140" s="10" t="str">
        <f>VLOOKUP($A140,Questions!$A$3:$L$333,2,0)&amp;""</f>
        <v>Does a physical barrier fully enclose the physical space, preventing unauthorized physical contact with any of your devices?*</v>
      </c>
      <c r="D140" s="10" t="str">
        <f>VLOOKUP($A140,Questions!$A$3:$L$333,11,0)&amp;""</f>
        <v/>
      </c>
      <c r="E140" s="10" t="str">
        <f>VLOOKUP($A140,Questions!$A$3:$L$333,12,0)&amp;""</f>
        <v>Infrastructure</v>
      </c>
      <c r="F140" s="10" t="str">
        <f>VLOOKUP($A140,'Institution Evaluation'!$A$56:$K$346,3,0)&amp;""</f>
        <v>yes</v>
      </c>
      <c r="G140" s="10" t="str">
        <f>VLOOKUP($A140,'Institution Evaluation'!$A$56:$K$346,7,0)&amp;""</f>
        <v>Yes</v>
      </c>
      <c r="H140" s="10" t="str">
        <f>VLOOKUP($A140,'Institution Evaluation'!$A$56:$K$346,8,0)&amp;""</f>
        <v/>
      </c>
      <c r="I140" s="10" t="str">
        <f>VLOOKUP($A140,'Institution Evaluation'!$A$56:$K$346,9,0)&amp;""</f>
        <v>Critical Importance</v>
      </c>
      <c r="J140" s="10" t="str">
        <f>VLOOKUP($A140,'Institution Evaluation'!$A$56:$K$346,10,0)&amp;""</f>
        <v/>
      </c>
      <c r="K140" s="10">
        <f t="shared" si="31"/>
        <v>20</v>
      </c>
      <c r="L140" s="114">
        <f>IF(OR($E140="Not Scored",$F140=""),"N/A",IF(AND($D140='Auto Responses'!$J$27,$H140=""),"N/A",IF(AND($D140='Auto Responses'!$J$27,$H140='Auto Responses'!$J$7),1,IF(AND($D140='Auto Responses'!$J$27,$H140='Auto Responses'!$J$8),0,IF(OR($F140=$G140,$H140='Auto Responses'!$J$7),1,0)))))</f>
        <v>1</v>
      </c>
      <c r="M140" s="10" t="str">
        <f>VLOOKUP($A140,'Institution Evaluation'!$A$56:$K$346,10,0)&amp;""</f>
        <v/>
      </c>
      <c r="N140" s="10">
        <f t="shared" si="32"/>
        <v>1</v>
      </c>
      <c r="O140" s="114">
        <f t="shared" si="37"/>
        <v>20</v>
      </c>
      <c r="P140" s="114">
        <f t="shared" si="34"/>
        <v>20</v>
      </c>
      <c r="Q140" s="114">
        <f t="shared" si="26"/>
        <v>0</v>
      </c>
      <c r="R140" s="114">
        <f t="shared" si="35"/>
        <v>0</v>
      </c>
      <c r="S140" s="114">
        <f t="shared" si="27"/>
        <v>0</v>
      </c>
      <c r="T140" s="114">
        <f t="shared" si="28"/>
        <v>1</v>
      </c>
      <c r="U140" s="114">
        <f t="shared" si="36"/>
        <v>45</v>
      </c>
      <c r="V140" s="114">
        <f t="shared" si="29"/>
        <v>45</v>
      </c>
    </row>
    <row r="141" spans="1:22" ht="60">
      <c r="A141" s="10" t="str">
        <f>Questions!$A141</f>
        <v>DCTR-07</v>
      </c>
      <c r="B141" s="10" t="str">
        <f t="shared" si="30"/>
        <v>DCTR</v>
      </c>
      <c r="C141" s="10" t="str">
        <f>VLOOKUP($A141,Questions!$A$3:$L$333,2,0)&amp;""</f>
        <v>Are your primary and secondary data centers geographically diverse?</v>
      </c>
      <c r="D141" s="10" t="str">
        <f>VLOOKUP($A141,Questions!$A$3:$L$333,11,0)&amp;""</f>
        <v/>
      </c>
      <c r="E141" s="10" t="str">
        <f>VLOOKUP($A141,Questions!$A$3:$L$333,12,0)&amp;""</f>
        <v>Infrastructure</v>
      </c>
      <c r="F141" s="10" t="str">
        <f>VLOOKUP($A141,'Institution Evaluation'!$A$56:$K$346,3,0)&amp;""</f>
        <v>yes</v>
      </c>
      <c r="G141" s="10" t="str">
        <f>VLOOKUP($A141,'Institution Evaluation'!$A$56:$K$346,7,0)&amp;""</f>
        <v>Yes</v>
      </c>
      <c r="H141" s="10" t="str">
        <f>VLOOKUP($A141,'Institution Evaluation'!$A$56:$K$346,8,0)&amp;""</f>
        <v/>
      </c>
      <c r="I141" s="10" t="str">
        <f>VLOOKUP($A141,'Institution Evaluation'!$A$56:$K$346,9,0)&amp;""</f>
        <v>Standard Importance</v>
      </c>
      <c r="J141" s="10" t="str">
        <f>VLOOKUP($A141,'Institution Evaluation'!$A$56:$K$346,10,0)&amp;""</f>
        <v/>
      </c>
      <c r="K141" s="10">
        <f t="shared" si="31"/>
        <v>10</v>
      </c>
      <c r="L141" s="114">
        <f>IF(OR($E141="Not Scored",$F141=""),"N/A",IF(AND($D141='Auto Responses'!$J$27,$H141=""),"N/A",IF(AND($D141='Auto Responses'!$J$27,$H141='Auto Responses'!$J$7),1,IF(AND($D141='Auto Responses'!$J$27,$H141='Auto Responses'!$J$8),0,IF(OR($F141=$G141,$H141='Auto Responses'!$J$7),1,0)))))</f>
        <v>1</v>
      </c>
      <c r="M141" s="10" t="str">
        <f>VLOOKUP($A141,'Institution Evaluation'!$A$56:$K$346,10,0)&amp;""</f>
        <v/>
      </c>
      <c r="N141" s="10">
        <f t="shared" si="32"/>
        <v>0</v>
      </c>
      <c r="O141" s="114">
        <f t="shared" si="37"/>
        <v>10</v>
      </c>
      <c r="P141" s="114">
        <f t="shared" si="34"/>
        <v>10</v>
      </c>
      <c r="Q141" s="114">
        <f t="shared" si="26"/>
        <v>0</v>
      </c>
      <c r="R141" s="114">
        <f t="shared" si="35"/>
        <v>0</v>
      </c>
      <c r="S141" s="114">
        <f t="shared" si="27"/>
        <v>0</v>
      </c>
      <c r="T141" s="114">
        <f t="shared" si="28"/>
        <v>0</v>
      </c>
      <c r="U141" s="114">
        <f t="shared" si="36"/>
        <v>45</v>
      </c>
      <c r="V141" s="114">
        <f t="shared" si="29"/>
        <v>0</v>
      </c>
    </row>
    <row r="142" spans="1:22" ht="60">
      <c r="A142" s="10" t="str">
        <f>Questions!$A142</f>
        <v>DCTR-08</v>
      </c>
      <c r="B142" s="10" t="str">
        <f t="shared" si="30"/>
        <v>DCTR</v>
      </c>
      <c r="C142" s="10" t="str">
        <f>VLOOKUP($A142,Questions!$A$3:$L$333,2,0)&amp;""</f>
        <v>Is the service hosted in a high-availability environment?</v>
      </c>
      <c r="D142" s="10" t="str">
        <f>VLOOKUP($A142,Questions!$A$3:$L$333,11,0)&amp;""</f>
        <v/>
      </c>
      <c r="E142" s="10" t="str">
        <f>VLOOKUP($A142,Questions!$A$3:$L$333,12,0)&amp;""</f>
        <v>Infrastructure</v>
      </c>
      <c r="F142" s="10" t="str">
        <f>VLOOKUP($A142,'Institution Evaluation'!$A$56:$K$346,3,0)&amp;""</f>
        <v>yes</v>
      </c>
      <c r="G142" s="10" t="str">
        <f>VLOOKUP($A142,'Institution Evaluation'!$A$56:$K$346,7,0)&amp;""</f>
        <v>Yes</v>
      </c>
      <c r="H142" s="10" t="str">
        <f>VLOOKUP($A142,'Institution Evaluation'!$A$56:$K$346,8,0)&amp;""</f>
        <v/>
      </c>
      <c r="I142" s="10" t="str">
        <f>VLOOKUP($A142,'Institution Evaluation'!$A$56:$K$346,9,0)&amp;""</f>
        <v>Standard Importance</v>
      </c>
      <c r="J142" s="10" t="str">
        <f>VLOOKUP($A142,'Institution Evaluation'!$A$56:$K$346,10,0)&amp;""</f>
        <v/>
      </c>
      <c r="K142" s="10">
        <f t="shared" si="31"/>
        <v>10</v>
      </c>
      <c r="L142" s="114">
        <f>IF(OR($E142="Not Scored",$F142=""),"N/A",IF(AND($D142='Auto Responses'!$J$27,$H142=""),"N/A",IF(AND($D142='Auto Responses'!$J$27,$H142='Auto Responses'!$J$7),1,IF(AND($D142='Auto Responses'!$J$27,$H142='Auto Responses'!$J$8),0,IF(OR($F142=$G142,$H142='Auto Responses'!$J$7),1,0)))))</f>
        <v>1</v>
      </c>
      <c r="M142" s="10" t="str">
        <f>VLOOKUP($A142,'Institution Evaluation'!$A$56:$K$346,10,0)&amp;""</f>
        <v/>
      </c>
      <c r="N142" s="10">
        <f t="shared" si="32"/>
        <v>0</v>
      </c>
      <c r="O142" s="114">
        <f t="shared" si="37"/>
        <v>10</v>
      </c>
      <c r="P142" s="114">
        <f t="shared" si="34"/>
        <v>10</v>
      </c>
      <c r="Q142" s="114">
        <f t="shared" si="26"/>
        <v>0</v>
      </c>
      <c r="R142" s="114">
        <f t="shared" si="35"/>
        <v>0</v>
      </c>
      <c r="S142" s="114">
        <f t="shared" si="27"/>
        <v>0</v>
      </c>
      <c r="T142" s="114">
        <f t="shared" si="28"/>
        <v>0</v>
      </c>
      <c r="U142" s="114">
        <f t="shared" si="36"/>
        <v>45</v>
      </c>
      <c r="V142" s="114">
        <f t="shared" si="29"/>
        <v>0</v>
      </c>
    </row>
    <row r="143" spans="1:22" ht="60">
      <c r="A143" s="10" t="str">
        <f>Questions!$A143</f>
        <v>DCTR-09</v>
      </c>
      <c r="B143" s="10" t="str">
        <f t="shared" si="30"/>
        <v>DCTR</v>
      </c>
      <c r="C143" s="10" t="str">
        <f>VLOOKUP($A143,Questions!$A$3:$L$333,2,0)&amp;""</f>
        <v>Is redundant power available for all data centers where institutional data will reside?</v>
      </c>
      <c r="D143" s="10" t="str">
        <f>VLOOKUP($A143,Questions!$A$3:$L$333,11,0)&amp;""</f>
        <v/>
      </c>
      <c r="E143" s="10" t="str">
        <f>VLOOKUP($A143,Questions!$A$3:$L$333,12,0)&amp;""</f>
        <v>Infrastructure</v>
      </c>
      <c r="F143" s="10" t="str">
        <f>VLOOKUP($A143,'Institution Evaluation'!$A$56:$K$346,3,0)&amp;""</f>
        <v>yes</v>
      </c>
      <c r="G143" s="10" t="str">
        <f>VLOOKUP($A143,'Institution Evaluation'!$A$56:$K$346,7,0)&amp;""</f>
        <v>Yes</v>
      </c>
      <c r="H143" s="10" t="str">
        <f>VLOOKUP($A143,'Institution Evaluation'!$A$56:$K$346,8,0)&amp;""</f>
        <v/>
      </c>
      <c r="I143" s="10" t="str">
        <f>VLOOKUP($A143,'Institution Evaluation'!$A$56:$K$346,9,0)&amp;""</f>
        <v>Standard Importance</v>
      </c>
      <c r="J143" s="10" t="str">
        <f>VLOOKUP($A143,'Institution Evaluation'!$A$56:$K$346,10,0)&amp;""</f>
        <v/>
      </c>
      <c r="K143" s="10">
        <f t="shared" si="31"/>
        <v>10</v>
      </c>
      <c r="L143" s="114">
        <f>IF(OR($E143="Not Scored",$F143=""),"N/A",IF(AND($D143='Auto Responses'!$J$27,$H143=""),"N/A",IF(AND($D143='Auto Responses'!$J$27,$H143='Auto Responses'!$J$7),1,IF(AND($D143='Auto Responses'!$J$27,$H143='Auto Responses'!$J$8),0,IF(OR($F143=$G143,$H143='Auto Responses'!$J$7),1,0)))))</f>
        <v>1</v>
      </c>
      <c r="M143" s="10" t="str">
        <f>VLOOKUP($A143,'Institution Evaluation'!$A$56:$K$346,10,0)&amp;""</f>
        <v/>
      </c>
      <c r="N143" s="10">
        <f t="shared" si="32"/>
        <v>0</v>
      </c>
      <c r="O143" s="114">
        <f t="shared" si="37"/>
        <v>10</v>
      </c>
      <c r="P143" s="114">
        <f t="shared" si="34"/>
        <v>10</v>
      </c>
      <c r="Q143" s="114">
        <f t="shared" si="26"/>
        <v>0</v>
      </c>
      <c r="R143" s="114">
        <f t="shared" si="35"/>
        <v>0</v>
      </c>
      <c r="S143" s="114">
        <f t="shared" si="27"/>
        <v>0</v>
      </c>
      <c r="T143" s="114">
        <f t="shared" si="28"/>
        <v>0</v>
      </c>
      <c r="U143" s="114">
        <f t="shared" si="36"/>
        <v>45</v>
      </c>
      <c r="V143" s="114">
        <f t="shared" si="29"/>
        <v>0</v>
      </c>
    </row>
    <row r="144" spans="1:22" ht="60">
      <c r="A144" s="10" t="str">
        <f>Questions!$A144</f>
        <v>DCTR-10</v>
      </c>
      <c r="B144" s="10" t="str">
        <f t="shared" si="30"/>
        <v>DCTR</v>
      </c>
      <c r="C144" s="10" t="str">
        <f>VLOOKUP($A144,Questions!$A$3:$L$333,2,0)&amp;""</f>
        <v>Are redundant power strategies tested?*</v>
      </c>
      <c r="D144" s="10" t="str">
        <f>VLOOKUP($A144,Questions!$A$3:$L$333,11,0)&amp;""</f>
        <v/>
      </c>
      <c r="E144" s="10" t="str">
        <f>VLOOKUP($A144,Questions!$A$3:$L$333,12,0)&amp;""</f>
        <v>Infrastructure</v>
      </c>
      <c r="F144" s="10" t="str">
        <f>VLOOKUP($A144,'Institution Evaluation'!$A$56:$K$346,3,0)&amp;""</f>
        <v>yes</v>
      </c>
      <c r="G144" s="10" t="str">
        <f>VLOOKUP($A144,'Institution Evaluation'!$A$56:$K$346,7,0)&amp;""</f>
        <v>Yes</v>
      </c>
      <c r="H144" s="10" t="str">
        <f>VLOOKUP($A144,'Institution Evaluation'!$A$56:$K$346,8,0)&amp;""</f>
        <v/>
      </c>
      <c r="I144" s="10" t="str">
        <f>VLOOKUP($A144,'Institution Evaluation'!$A$56:$K$346,9,0)&amp;""</f>
        <v>Critical Importance</v>
      </c>
      <c r="J144" s="10" t="str">
        <f>VLOOKUP($A144,'Institution Evaluation'!$A$56:$K$346,10,0)&amp;""</f>
        <v/>
      </c>
      <c r="K144" s="10">
        <f t="shared" si="31"/>
        <v>20</v>
      </c>
      <c r="L144" s="114">
        <f>IF(OR($E144="Not Scored",$F144=""),"N/A",IF(AND($D144='Auto Responses'!$J$27,$H144=""),"N/A",IF(AND($D144='Auto Responses'!$J$27,$H144='Auto Responses'!$J$7),1,IF(AND($D144='Auto Responses'!$J$27,$H144='Auto Responses'!$J$8),0,IF(OR($F144=$G144,$H144='Auto Responses'!$J$7),1,0)))))</f>
        <v>1</v>
      </c>
      <c r="M144" s="10" t="str">
        <f>VLOOKUP($A144,'Institution Evaluation'!$A$56:$K$346,10,0)&amp;""</f>
        <v/>
      </c>
      <c r="N144" s="10">
        <f t="shared" si="32"/>
        <v>1</v>
      </c>
      <c r="O144" s="114">
        <f t="shared" si="37"/>
        <v>20</v>
      </c>
      <c r="P144" s="114">
        <f t="shared" si="34"/>
        <v>20</v>
      </c>
      <c r="Q144" s="114">
        <f t="shared" si="26"/>
        <v>0</v>
      </c>
      <c r="R144" s="114">
        <f t="shared" si="35"/>
        <v>0</v>
      </c>
      <c r="S144" s="114">
        <f t="shared" si="27"/>
        <v>0</v>
      </c>
      <c r="T144" s="114">
        <f t="shared" si="28"/>
        <v>1</v>
      </c>
      <c r="U144" s="114">
        <f t="shared" si="36"/>
        <v>46</v>
      </c>
      <c r="V144" s="114">
        <f t="shared" si="29"/>
        <v>46</v>
      </c>
    </row>
    <row r="145" spans="1:22" ht="60">
      <c r="A145" s="10" t="str">
        <f>Questions!$A145</f>
        <v>DCTR-11</v>
      </c>
      <c r="B145" s="10" t="str">
        <f t="shared" si="30"/>
        <v>DCTR</v>
      </c>
      <c r="C145" s="10" t="str">
        <f>VLOOKUP($A145,Questions!$A$3:$L$333,2,0)&amp;""</f>
        <v>Does the center where the data will reside have cooling and fire-suppression systems that are active and regularly tested?</v>
      </c>
      <c r="D145" s="10" t="str">
        <f>VLOOKUP($A145,Questions!$A$3:$L$333,11,0)&amp;""</f>
        <v/>
      </c>
      <c r="E145" s="10" t="str">
        <f>VLOOKUP($A145,Questions!$A$3:$L$333,12,0)&amp;""</f>
        <v>Infrastructure</v>
      </c>
      <c r="F145" s="10" t="str">
        <f>VLOOKUP($A145,'Institution Evaluation'!$A$56:$K$346,3,0)&amp;""</f>
        <v>yes</v>
      </c>
      <c r="G145" s="10" t="str">
        <f>VLOOKUP($A145,'Institution Evaluation'!$A$56:$K$346,7,0)&amp;""</f>
        <v>Yes</v>
      </c>
      <c r="H145" s="10" t="str">
        <f>VLOOKUP($A145,'Institution Evaluation'!$A$56:$K$346,8,0)&amp;""</f>
        <v/>
      </c>
      <c r="I145" s="10" t="str">
        <f>VLOOKUP($A145,'Institution Evaluation'!$A$56:$K$346,9,0)&amp;""</f>
        <v>Standard Importance</v>
      </c>
      <c r="J145" s="10" t="str">
        <f>VLOOKUP($A145,'Institution Evaluation'!$A$56:$K$346,10,0)&amp;""</f>
        <v/>
      </c>
      <c r="K145" s="10">
        <f t="shared" si="31"/>
        <v>10</v>
      </c>
      <c r="L145" s="114">
        <f>IF(OR($E145="Not Scored",$F145=""),"N/A",IF(AND($D145='Auto Responses'!$J$27,$H145=""),"N/A",IF(AND($D145='Auto Responses'!$J$27,$H145='Auto Responses'!$J$7),1,IF(AND($D145='Auto Responses'!$J$27,$H145='Auto Responses'!$J$8),0,IF(OR($F145=$G145,$H145='Auto Responses'!$J$7),1,0)))))</f>
        <v>1</v>
      </c>
      <c r="M145" s="10" t="str">
        <f>VLOOKUP($A145,'Institution Evaluation'!$A$56:$K$346,10,0)&amp;""</f>
        <v/>
      </c>
      <c r="N145" s="10">
        <f t="shared" si="32"/>
        <v>0</v>
      </c>
      <c r="O145" s="114">
        <f t="shared" si="37"/>
        <v>10</v>
      </c>
      <c r="P145" s="114">
        <f t="shared" si="34"/>
        <v>10</v>
      </c>
      <c r="Q145" s="114">
        <f t="shared" si="26"/>
        <v>0</v>
      </c>
      <c r="R145" s="114">
        <f t="shared" si="35"/>
        <v>0</v>
      </c>
      <c r="S145" s="114">
        <f t="shared" si="27"/>
        <v>0</v>
      </c>
      <c r="T145" s="114">
        <f t="shared" si="28"/>
        <v>0</v>
      </c>
      <c r="U145" s="114">
        <f t="shared" si="36"/>
        <v>46</v>
      </c>
      <c r="V145" s="114">
        <f t="shared" si="29"/>
        <v>0</v>
      </c>
    </row>
    <row r="146" spans="1:22" ht="60">
      <c r="A146" s="10" t="str">
        <f>Questions!$A146</f>
        <v>DCTR-12</v>
      </c>
      <c r="B146" s="10" t="str">
        <f t="shared" si="30"/>
        <v>DCTR</v>
      </c>
      <c r="C146" s="10" t="str">
        <f>VLOOKUP($A146,Questions!$A$3:$L$333,2,0)&amp;""</f>
        <v>Do you have Internet Service Provider (ISP) redundancy?</v>
      </c>
      <c r="D146" s="10" t="str">
        <f>VLOOKUP($A146,Questions!$A$3:$L$333,11,0)&amp;""</f>
        <v/>
      </c>
      <c r="E146" s="10" t="str">
        <f>VLOOKUP($A146,Questions!$A$3:$L$333,12,0)&amp;""</f>
        <v>Infrastructure</v>
      </c>
      <c r="F146" s="10" t="str">
        <f>VLOOKUP($A146,'Institution Evaluation'!$A$56:$K$346,3,0)&amp;""</f>
        <v>yes</v>
      </c>
      <c r="G146" s="10" t="str">
        <f>VLOOKUP($A146,'Institution Evaluation'!$A$56:$K$346,7,0)&amp;""</f>
        <v>Yes</v>
      </c>
      <c r="H146" s="10" t="str">
        <f>VLOOKUP($A146,'Institution Evaluation'!$A$56:$K$346,8,0)&amp;""</f>
        <v/>
      </c>
      <c r="I146" s="10" t="str">
        <f>VLOOKUP($A146,'Institution Evaluation'!$A$56:$K$346,9,0)&amp;""</f>
        <v>Standard Importance</v>
      </c>
      <c r="J146" s="10" t="str">
        <f>VLOOKUP($A146,'Institution Evaluation'!$A$56:$K$346,10,0)&amp;""</f>
        <v/>
      </c>
      <c r="K146" s="10">
        <f t="shared" si="31"/>
        <v>10</v>
      </c>
      <c r="L146" s="114">
        <f>IF(OR($E146="Not Scored",$F146=""),"N/A",IF(AND($D146='Auto Responses'!$J$27,$H146=""),"N/A",IF(AND($D146='Auto Responses'!$J$27,$H146='Auto Responses'!$J$7),1,IF(AND($D146='Auto Responses'!$J$27,$H146='Auto Responses'!$J$8),0,IF(OR($F146=$G146,$H146='Auto Responses'!$J$7),1,0)))))</f>
        <v>1</v>
      </c>
      <c r="M146" s="10" t="str">
        <f>VLOOKUP($A146,'Institution Evaluation'!$A$56:$K$346,10,0)&amp;""</f>
        <v/>
      </c>
      <c r="N146" s="10">
        <f t="shared" si="32"/>
        <v>0</v>
      </c>
      <c r="O146" s="114">
        <f t="shared" si="37"/>
        <v>10</v>
      </c>
      <c r="P146" s="114">
        <f t="shared" si="34"/>
        <v>10</v>
      </c>
      <c r="Q146" s="114">
        <f t="shared" si="26"/>
        <v>0</v>
      </c>
      <c r="R146" s="114">
        <f t="shared" si="35"/>
        <v>0</v>
      </c>
      <c r="S146" s="114">
        <f t="shared" si="27"/>
        <v>0</v>
      </c>
      <c r="T146" s="114">
        <f t="shared" si="28"/>
        <v>0</v>
      </c>
      <c r="U146" s="114">
        <f t="shared" si="36"/>
        <v>46</v>
      </c>
      <c r="V146" s="114">
        <f t="shared" si="29"/>
        <v>0</v>
      </c>
    </row>
    <row r="147" spans="1:22" ht="60">
      <c r="A147" s="10" t="str">
        <f>Questions!$A147</f>
        <v>DCTR-13</v>
      </c>
      <c r="B147" s="10" t="str">
        <f t="shared" si="30"/>
        <v>DCTR</v>
      </c>
      <c r="C147" s="10" t="str">
        <f>VLOOKUP($A147,Questions!$A$3:$L$333,2,0)&amp;""</f>
        <v>Does every data center where the institution's data will reside have multiple telephone company or network provider entrances to the facility?</v>
      </c>
      <c r="D147" s="10" t="str">
        <f>VLOOKUP($A147,Questions!$A$3:$L$333,11,0)&amp;""</f>
        <v/>
      </c>
      <c r="E147" s="10" t="str">
        <f>VLOOKUP($A147,Questions!$A$3:$L$333,12,0)&amp;""</f>
        <v>Infrastructure</v>
      </c>
      <c r="F147" s="10" t="str">
        <f>VLOOKUP($A147,'Institution Evaluation'!$A$56:$K$346,3,0)&amp;""</f>
        <v>yes</v>
      </c>
      <c r="G147" s="10" t="str">
        <f>VLOOKUP($A147,'Institution Evaluation'!$A$56:$K$346,7,0)&amp;""</f>
        <v>Yes</v>
      </c>
      <c r="H147" s="10" t="str">
        <f>VLOOKUP($A147,'Institution Evaluation'!$A$56:$K$346,8,0)&amp;""</f>
        <v/>
      </c>
      <c r="I147" s="10" t="str">
        <f>VLOOKUP($A147,'Institution Evaluation'!$A$56:$K$346,9,0)&amp;""</f>
        <v>Standard Importance</v>
      </c>
      <c r="J147" s="10" t="str">
        <f>VLOOKUP($A147,'Institution Evaluation'!$A$56:$K$346,10,0)&amp;""</f>
        <v/>
      </c>
      <c r="K147" s="10">
        <f t="shared" si="31"/>
        <v>10</v>
      </c>
      <c r="L147" s="114">
        <f>IF(OR($E147="Not Scored",$F147=""),"N/A",IF(AND($D147='Auto Responses'!$J$27,$H147=""),"N/A",IF(AND($D147='Auto Responses'!$J$27,$H147='Auto Responses'!$J$7),1,IF(AND($D147='Auto Responses'!$J$27,$H147='Auto Responses'!$J$8),0,IF(OR($F147=$G147,$H147='Auto Responses'!$J$7),1,0)))))</f>
        <v>1</v>
      </c>
      <c r="M147" s="10" t="str">
        <f>VLOOKUP($A147,'Institution Evaluation'!$A$56:$K$346,10,0)&amp;""</f>
        <v/>
      </c>
      <c r="N147" s="10">
        <f t="shared" si="32"/>
        <v>0</v>
      </c>
      <c r="O147" s="114">
        <f t="shared" si="37"/>
        <v>10</v>
      </c>
      <c r="P147" s="114">
        <f t="shared" si="34"/>
        <v>10</v>
      </c>
      <c r="Q147" s="114">
        <f t="shared" si="26"/>
        <v>0</v>
      </c>
      <c r="R147" s="114">
        <f t="shared" si="35"/>
        <v>0</v>
      </c>
      <c r="S147" s="114">
        <f t="shared" si="27"/>
        <v>0</v>
      </c>
      <c r="T147" s="114">
        <f t="shared" si="28"/>
        <v>0</v>
      </c>
      <c r="U147" s="114">
        <f t="shared" si="36"/>
        <v>46</v>
      </c>
      <c r="V147" s="114">
        <f t="shared" si="29"/>
        <v>0</v>
      </c>
    </row>
    <row r="148" spans="1:22" ht="60">
      <c r="A148" s="10" t="str">
        <f>Questions!$A148</f>
        <v>DCTR-14</v>
      </c>
      <c r="B148" s="10" t="str">
        <f t="shared" si="30"/>
        <v>DCTR</v>
      </c>
      <c r="C148" s="10" t="str">
        <f>VLOOKUP($A148,Questions!$A$3:$L$333,2,0)&amp;""</f>
        <v>Do you require multifactor authentication for all administrative accounts in your environment?</v>
      </c>
      <c r="D148" s="10" t="str">
        <f>VLOOKUP($A148,Questions!$A$3:$L$333,11,0)&amp;""</f>
        <v/>
      </c>
      <c r="E148" s="10" t="str">
        <f>VLOOKUP($A148,Questions!$A$3:$L$333,12,0)&amp;""</f>
        <v>Infrastructure</v>
      </c>
      <c r="F148" s="10" t="str">
        <f>VLOOKUP($A148,'Institution Evaluation'!$A$56:$K$346,3,0)&amp;""</f>
        <v>no</v>
      </c>
      <c r="G148" s="10" t="str">
        <f>VLOOKUP($A148,'Institution Evaluation'!$A$56:$K$346,7,0)&amp;""</f>
        <v>Yes</v>
      </c>
      <c r="H148" s="10" t="str">
        <f>VLOOKUP($A148,'Institution Evaluation'!$A$56:$K$346,8,0)&amp;""</f>
        <v/>
      </c>
      <c r="I148" s="10" t="str">
        <f>VLOOKUP($A148,'Institution Evaluation'!$A$56:$K$346,9,0)&amp;""</f>
        <v>Standard Importance</v>
      </c>
      <c r="J148" s="10" t="str">
        <f>VLOOKUP($A148,'Institution Evaluation'!$A$56:$K$346,10,0)&amp;""</f>
        <v/>
      </c>
      <c r="K148" s="10">
        <f t="shared" si="31"/>
        <v>10</v>
      </c>
      <c r="L148" s="114">
        <f>IF(OR($E148="Not Scored",$F148=""),"N/A",IF(AND($D148='Auto Responses'!$J$27,$H148=""),"N/A",IF(AND($D148='Auto Responses'!$J$27,$H148='Auto Responses'!$J$7),1,IF(AND($D148='Auto Responses'!$J$27,$H148='Auto Responses'!$J$8),0,IF(OR($F148=$G148,$H148='Auto Responses'!$J$7),1,0)))))</f>
        <v>0</v>
      </c>
      <c r="M148" s="10" t="str">
        <f>VLOOKUP($A148,'Institution Evaluation'!$A$56:$K$346,10,0)&amp;""</f>
        <v/>
      </c>
      <c r="N148" s="10">
        <f t="shared" si="32"/>
        <v>0</v>
      </c>
      <c r="O148" s="114">
        <f t="shared" si="37"/>
        <v>10</v>
      </c>
      <c r="P148" s="114">
        <f t="shared" si="34"/>
        <v>0</v>
      </c>
      <c r="Q148" s="114">
        <f t="shared" si="26"/>
        <v>0</v>
      </c>
      <c r="R148" s="114">
        <f t="shared" si="35"/>
        <v>0</v>
      </c>
      <c r="S148" s="114">
        <f t="shared" si="27"/>
        <v>0</v>
      </c>
      <c r="T148" s="114">
        <f t="shared" si="28"/>
        <v>0</v>
      </c>
      <c r="U148" s="114">
        <f t="shared" si="36"/>
        <v>46</v>
      </c>
      <c r="V148" s="114">
        <f t="shared" si="29"/>
        <v>0</v>
      </c>
    </row>
    <row r="149" spans="1:22" ht="60">
      <c r="A149" s="10" t="str">
        <f>Questions!$A149</f>
        <v>DCTR-15</v>
      </c>
      <c r="B149" s="10" t="str">
        <f t="shared" si="30"/>
        <v>DCTR</v>
      </c>
      <c r="C149" s="10" t="str">
        <f>VLOOKUP($A149,Questions!$A$3:$L$333,2,0)&amp;""</f>
        <v>Are you using your cloud provider's available hardening tools or pre-hardened images?</v>
      </c>
      <c r="D149" s="10" t="str">
        <f>VLOOKUP($A149,Questions!$A$3:$L$333,11,0)&amp;""</f>
        <v/>
      </c>
      <c r="E149" s="10" t="str">
        <f>VLOOKUP($A149,Questions!$A$3:$L$333,12,0)&amp;""</f>
        <v>Infrastructure</v>
      </c>
      <c r="F149" s="10" t="str">
        <f>VLOOKUP($A149,'Institution Evaluation'!$A$56:$K$346,3,0)&amp;""</f>
        <v>yes</v>
      </c>
      <c r="G149" s="10" t="str">
        <f>VLOOKUP($A149,'Institution Evaluation'!$A$56:$K$346,7,0)&amp;""</f>
        <v>Yes</v>
      </c>
      <c r="H149" s="10" t="str">
        <f>VLOOKUP($A149,'Institution Evaluation'!$A$56:$K$346,8,0)&amp;""</f>
        <v/>
      </c>
      <c r="I149" s="10" t="str">
        <f>VLOOKUP($A149,'Institution Evaluation'!$A$56:$K$346,9,0)&amp;""</f>
        <v>Standard Importance</v>
      </c>
      <c r="J149" s="10" t="str">
        <f>VLOOKUP($A149,'Institution Evaluation'!$A$56:$K$346,10,0)&amp;""</f>
        <v/>
      </c>
      <c r="K149" s="10">
        <f t="shared" si="31"/>
        <v>10</v>
      </c>
      <c r="L149" s="114">
        <f>IF(OR($E149="Not Scored",$F149=""),"N/A",IF(AND($D149='Auto Responses'!$J$27,$H149=""),"N/A",IF(AND($D149='Auto Responses'!$J$27,$H149='Auto Responses'!$J$7),1,IF(AND($D149='Auto Responses'!$J$27,$H149='Auto Responses'!$J$8),0,IF(OR($F149=$G149,$H149='Auto Responses'!$J$7),1,0)))))</f>
        <v>1</v>
      </c>
      <c r="M149" s="10" t="str">
        <f>VLOOKUP($A149,'Institution Evaluation'!$A$56:$K$346,10,0)&amp;""</f>
        <v/>
      </c>
      <c r="N149" s="10">
        <f t="shared" si="32"/>
        <v>0</v>
      </c>
      <c r="O149" s="114">
        <f t="shared" si="37"/>
        <v>10</v>
      </c>
      <c r="P149" s="114">
        <f t="shared" si="34"/>
        <v>10</v>
      </c>
      <c r="Q149" s="114">
        <f t="shared" si="26"/>
        <v>0</v>
      </c>
      <c r="R149" s="114">
        <f t="shared" si="35"/>
        <v>0</v>
      </c>
      <c r="S149" s="114">
        <f t="shared" si="27"/>
        <v>0</v>
      </c>
      <c r="T149" s="114">
        <f t="shared" si="28"/>
        <v>0</v>
      </c>
      <c r="U149" s="114">
        <f t="shared" si="36"/>
        <v>46</v>
      </c>
      <c r="V149" s="114">
        <f t="shared" si="29"/>
        <v>0</v>
      </c>
    </row>
    <row r="150" spans="1:22" ht="60">
      <c r="A150" s="10" t="str">
        <f>Questions!$A150</f>
        <v>DCTR-16</v>
      </c>
      <c r="B150" s="10" t="str">
        <f t="shared" si="30"/>
        <v>DCTR</v>
      </c>
      <c r="C150" s="10" t="str">
        <f>VLOOKUP($A150,Questions!$A$3:$L$333,2,0)&amp;""</f>
        <v>Does your cloud solution provider have access to your encryption keys?</v>
      </c>
      <c r="D150" s="10" t="str">
        <f>VLOOKUP($A150,Questions!$A$3:$L$333,11,0)&amp;""</f>
        <v/>
      </c>
      <c r="E150" s="10" t="str">
        <f>VLOOKUP($A150,Questions!$A$3:$L$333,12,0)&amp;""</f>
        <v>Infrastructure</v>
      </c>
      <c r="F150" s="10" t="str">
        <f>VLOOKUP($A150,'Institution Evaluation'!$A$56:$K$346,3,0)&amp;""</f>
        <v>yes</v>
      </c>
      <c r="G150" s="10" t="str">
        <f>VLOOKUP($A150,'Institution Evaluation'!$A$56:$K$346,7,0)&amp;""</f>
        <v>No</v>
      </c>
      <c r="H150" s="10" t="str">
        <f>VLOOKUP($A150,'Institution Evaluation'!$A$56:$K$346,8,0)&amp;""</f>
        <v/>
      </c>
      <c r="I150" s="10" t="str">
        <f>VLOOKUP($A150,'Institution Evaluation'!$A$56:$K$346,9,0)&amp;""</f>
        <v>Standard Importance</v>
      </c>
      <c r="J150" s="10" t="str">
        <f>VLOOKUP($A150,'Institution Evaluation'!$A$56:$K$346,10,0)&amp;""</f>
        <v/>
      </c>
      <c r="K150" s="10">
        <f t="shared" si="31"/>
        <v>10</v>
      </c>
      <c r="L150" s="114">
        <f>IF(OR($E150="Not Scored",$F150=""),"N/A",IF(AND($D150='Auto Responses'!$J$27,$H150=""),"N/A",IF(AND($D150='Auto Responses'!$J$27,$H150='Auto Responses'!$J$7),1,IF(AND($D150='Auto Responses'!$J$27,$H150='Auto Responses'!$J$8),0,IF(OR($F150=$G150,$H150='Auto Responses'!$J$7),1,0)))))</f>
        <v>0</v>
      </c>
      <c r="M150" s="10" t="str">
        <f>VLOOKUP($A150,'Institution Evaluation'!$A$56:$K$346,10,0)&amp;""</f>
        <v/>
      </c>
      <c r="N150" s="10">
        <f t="shared" si="32"/>
        <v>0</v>
      </c>
      <c r="O150" s="114">
        <f t="shared" si="37"/>
        <v>10</v>
      </c>
      <c r="P150" s="114">
        <f t="shared" si="34"/>
        <v>0</v>
      </c>
      <c r="Q150" s="114">
        <f t="shared" si="26"/>
        <v>0</v>
      </c>
      <c r="R150" s="114">
        <f t="shared" si="35"/>
        <v>0</v>
      </c>
      <c r="S150" s="114">
        <f t="shared" si="27"/>
        <v>0</v>
      </c>
      <c r="T150" s="114">
        <f t="shared" si="28"/>
        <v>0</v>
      </c>
      <c r="U150" s="114">
        <f t="shared" si="36"/>
        <v>46</v>
      </c>
      <c r="V150" s="114">
        <f t="shared" si="29"/>
        <v>0</v>
      </c>
    </row>
    <row r="151" spans="1:22" ht="60">
      <c r="A151" s="10" t="str">
        <f>Questions!$A151</f>
        <v>FIDP-01</v>
      </c>
      <c r="B151" s="10" t="str">
        <f t="shared" si="30"/>
        <v>FIDP</v>
      </c>
      <c r="C151" s="10" t="str">
        <f>VLOOKUP($A151,Questions!$A$3:$L$333,2,0)&amp;""</f>
        <v>Are you utilizing a stateful packet inspection (SPI) firewall?*</v>
      </c>
      <c r="D151" s="10" t="str">
        <f>VLOOKUP($A151,Questions!$A$3:$L$333,11,0)&amp;""</f>
        <v/>
      </c>
      <c r="E151" s="10" t="str">
        <f>VLOOKUP($A151,Questions!$A$3:$L$333,12,0)&amp;""</f>
        <v>Infrastructure</v>
      </c>
      <c r="F151" s="10" t="str">
        <f>VLOOKUP($A151,'Institution Evaluation'!$A$56:$K$346,3,0)&amp;""</f>
        <v>yes</v>
      </c>
      <c r="G151" s="10" t="str">
        <f>VLOOKUP($A151,'Institution Evaluation'!$A$56:$K$346,7,0)&amp;""</f>
        <v>Yes</v>
      </c>
      <c r="H151" s="10" t="str">
        <f>VLOOKUP($A151,'Institution Evaluation'!$A$56:$K$346,8,0)&amp;""</f>
        <v/>
      </c>
      <c r="I151" s="10" t="str">
        <f>VLOOKUP($A151,'Institution Evaluation'!$A$56:$K$346,9,0)&amp;""</f>
        <v>Critical Importance</v>
      </c>
      <c r="J151" s="10" t="str">
        <f>VLOOKUP($A151,'Institution Evaluation'!$A$56:$K$346,10,0)&amp;""</f>
        <v/>
      </c>
      <c r="K151" s="10">
        <f t="shared" si="31"/>
        <v>20</v>
      </c>
      <c r="L151" s="114">
        <f>IF($E151="Not Scored", "N/A",IF(AND($D151='Auto Responses'!$J$27,$H151=""),"N/A",IF(AND($D151='Auto Responses'!$J$27,$H151='Auto Responses'!$J$7),1,IF(AND($D151='Auto Responses'!$J$27,$H151='Auto Responses'!$J$8),0,IF(OR($F151=$G151,$H151='Auto Responses'!$J$7),1,0)))))</f>
        <v>1</v>
      </c>
      <c r="M151" s="10" t="str">
        <f>VLOOKUP($A151,'Institution Evaluation'!$A$56:$K$346,10,0)&amp;""</f>
        <v/>
      </c>
      <c r="N151" s="10">
        <f t="shared" si="32"/>
        <v>1</v>
      </c>
      <c r="O151" s="114">
        <f>IF(OR($F$17="No",$E151="Not Scored"),"N/A",IF($J151="",$K151,IF($J151="Minor Importance",5,IF($J151="Standard Importance",10,IF($J151="Critical Importance",20,0)))))</f>
        <v>20</v>
      </c>
      <c r="P151" s="114">
        <f t="shared" si="34"/>
        <v>20</v>
      </c>
      <c r="Q151" s="114">
        <f t="shared" si="26"/>
        <v>0</v>
      </c>
      <c r="R151" s="114">
        <f t="shared" si="35"/>
        <v>0</v>
      </c>
      <c r="S151" s="114">
        <f t="shared" si="27"/>
        <v>0</v>
      </c>
      <c r="T151" s="114">
        <f t="shared" si="28"/>
        <v>1</v>
      </c>
      <c r="U151" s="114">
        <f t="shared" si="36"/>
        <v>47</v>
      </c>
      <c r="V151" s="114">
        <f t="shared" si="29"/>
        <v>47</v>
      </c>
    </row>
    <row r="152" spans="1:22" ht="60">
      <c r="A152" s="10" t="str">
        <f>Questions!$A152</f>
        <v>FIDP-02</v>
      </c>
      <c r="B152" s="10" t="str">
        <f t="shared" si="30"/>
        <v>FIDP</v>
      </c>
      <c r="C152" s="10" t="str">
        <f>VLOOKUP($A152,Questions!$A$3:$L$333,2,0)&amp;""</f>
        <v>Do you have a documented policy for firewall change requests?*</v>
      </c>
      <c r="D152" s="10" t="str">
        <f>VLOOKUP($A152,Questions!$A$3:$L$333,11,0)&amp;""</f>
        <v/>
      </c>
      <c r="E152" s="10" t="str">
        <f>VLOOKUP($A152,Questions!$A$3:$L$333,12,0)&amp;""</f>
        <v>Infrastructure</v>
      </c>
      <c r="F152" s="10" t="str">
        <f>VLOOKUP($A152,'Institution Evaluation'!$A$56:$K$346,3,0)&amp;""</f>
        <v>yes</v>
      </c>
      <c r="G152" s="10" t="str">
        <f>VLOOKUP($A152,'Institution Evaluation'!$A$56:$K$346,7,0)&amp;""</f>
        <v>Yes</v>
      </c>
      <c r="H152" s="10" t="str">
        <f>VLOOKUP($A152,'Institution Evaluation'!$A$56:$K$346,8,0)&amp;""</f>
        <v/>
      </c>
      <c r="I152" s="10" t="str">
        <f>VLOOKUP($A152,'Institution Evaluation'!$A$56:$K$346,9,0)&amp;""</f>
        <v>Critical Importance</v>
      </c>
      <c r="J152" s="10" t="str">
        <f>VLOOKUP($A152,'Institution Evaluation'!$A$56:$K$346,10,0)&amp;""</f>
        <v/>
      </c>
      <c r="K152" s="10">
        <f t="shared" si="31"/>
        <v>20</v>
      </c>
      <c r="L152" s="114">
        <f>IF($E152="Not Scored", "N/A",IF(AND($D152='Auto Responses'!$J$27,$H152=""),"N/A",IF(AND($D152='Auto Responses'!$J$27,$H152='Auto Responses'!$J$7),1,IF(AND($D152='Auto Responses'!$J$27,$H152='Auto Responses'!$J$8),0,IF(OR($F152=$G152,$H152='Auto Responses'!$J$7),1,0)))))</f>
        <v>1</v>
      </c>
      <c r="M152" s="10" t="str">
        <f>VLOOKUP($A152,'Institution Evaluation'!$A$56:$K$346,10,0)&amp;""</f>
        <v/>
      </c>
      <c r="N152" s="10">
        <f t="shared" si="32"/>
        <v>1</v>
      </c>
      <c r="O152" s="114">
        <f t="shared" ref="O152:O161" si="38">IF(OR($F$17="No",$E152="Not Scored"),"N/A",IF($J152="",$K152,IF($J152="Minor Importance",5,IF($J152="Standard Importance",10,IF($J152="Critical Importance",20,0)))))</f>
        <v>20</v>
      </c>
      <c r="P152" s="114">
        <f t="shared" si="34"/>
        <v>20</v>
      </c>
      <c r="Q152" s="114">
        <f t="shared" si="26"/>
        <v>0</v>
      </c>
      <c r="R152" s="114">
        <f t="shared" si="35"/>
        <v>0</v>
      </c>
      <c r="S152" s="114">
        <f t="shared" si="27"/>
        <v>0</v>
      </c>
      <c r="T152" s="114">
        <f t="shared" si="28"/>
        <v>1</v>
      </c>
      <c r="U152" s="114">
        <f t="shared" si="36"/>
        <v>48</v>
      </c>
      <c r="V152" s="114">
        <f t="shared" si="29"/>
        <v>48</v>
      </c>
    </row>
    <row r="153" spans="1:22" ht="60">
      <c r="A153" s="10" t="str">
        <f>Questions!$A153</f>
        <v>FIDP-03</v>
      </c>
      <c r="B153" s="10" t="str">
        <f t="shared" si="30"/>
        <v>FIDP</v>
      </c>
      <c r="C153" s="10" t="str">
        <f>VLOOKUP($A153,Questions!$A$3:$L$333,2,0)&amp;""</f>
        <v>Have you implemented an intrusion detection system (network-based)?*</v>
      </c>
      <c r="D153" s="10" t="str">
        <f>VLOOKUP($A153,Questions!$A$3:$L$333,11,0)&amp;""</f>
        <v/>
      </c>
      <c r="E153" s="10" t="str">
        <f>VLOOKUP($A153,Questions!$A$3:$L$333,12,0)&amp;""</f>
        <v>Infrastructure</v>
      </c>
      <c r="F153" s="10" t="str">
        <f>VLOOKUP($A153,'Institution Evaluation'!$A$56:$K$346,3,0)&amp;""</f>
        <v>yes</v>
      </c>
      <c r="G153" s="10" t="str">
        <f>VLOOKUP($A153,'Institution Evaluation'!$A$56:$K$346,7,0)&amp;""</f>
        <v>Yes</v>
      </c>
      <c r="H153" s="10" t="str">
        <f>VLOOKUP($A153,'Institution Evaluation'!$A$56:$K$346,8,0)&amp;""</f>
        <v/>
      </c>
      <c r="I153" s="10" t="str">
        <f>VLOOKUP($A153,'Institution Evaluation'!$A$56:$K$346,9,0)&amp;""</f>
        <v>Critical Importance</v>
      </c>
      <c r="J153" s="10" t="str">
        <f>VLOOKUP($A153,'Institution Evaluation'!$A$56:$K$346,10,0)&amp;""</f>
        <v/>
      </c>
      <c r="K153" s="10">
        <f t="shared" si="31"/>
        <v>20</v>
      </c>
      <c r="L153" s="114">
        <f>IF($E153="Not Scored", "N/A",IF(AND($D153='Auto Responses'!$J$27,$H153=""),"N/A",IF(AND($D153='Auto Responses'!$J$27,$H153='Auto Responses'!$J$7),1,IF(AND($D153='Auto Responses'!$J$27,$H153='Auto Responses'!$J$8),0,IF(OR($F153=$G153,$H153='Auto Responses'!$J$7),1,0)))))</f>
        <v>1</v>
      </c>
      <c r="M153" s="10" t="str">
        <f>VLOOKUP($A153,'Institution Evaluation'!$A$56:$K$346,10,0)&amp;""</f>
        <v/>
      </c>
      <c r="N153" s="10">
        <f t="shared" si="32"/>
        <v>1</v>
      </c>
      <c r="O153" s="114">
        <f t="shared" si="38"/>
        <v>20</v>
      </c>
      <c r="P153" s="114">
        <f t="shared" si="34"/>
        <v>20</v>
      </c>
      <c r="Q153" s="114">
        <f t="shared" si="26"/>
        <v>0</v>
      </c>
      <c r="R153" s="114">
        <f t="shared" si="35"/>
        <v>0</v>
      </c>
      <c r="S153" s="114">
        <f t="shared" si="27"/>
        <v>0</v>
      </c>
      <c r="T153" s="114">
        <f t="shared" si="28"/>
        <v>1</v>
      </c>
      <c r="U153" s="114">
        <f t="shared" si="36"/>
        <v>49</v>
      </c>
      <c r="V153" s="114">
        <f t="shared" si="29"/>
        <v>49</v>
      </c>
    </row>
    <row r="154" spans="1:22" ht="60">
      <c r="A154" s="10" t="str">
        <f>Questions!$A154</f>
        <v>FIDP-04</v>
      </c>
      <c r="B154" s="10" t="str">
        <f t="shared" si="30"/>
        <v>FIDP</v>
      </c>
      <c r="C154" s="10" t="str">
        <f>VLOOKUP($A154,Questions!$A$3:$L$333,2,0)&amp;""</f>
        <v>Do you employ host-based intrusion detection?*</v>
      </c>
      <c r="D154" s="10" t="str">
        <f>VLOOKUP($A154,Questions!$A$3:$L$333,11,0)&amp;""</f>
        <v/>
      </c>
      <c r="E154" s="10" t="str">
        <f>VLOOKUP($A154,Questions!$A$3:$L$333,12,0)&amp;""</f>
        <v>Infrastructure</v>
      </c>
      <c r="F154" s="10" t="str">
        <f>VLOOKUP($A154,'Institution Evaluation'!$A$56:$K$346,3,0)&amp;""</f>
        <v>yes</v>
      </c>
      <c r="G154" s="10" t="str">
        <f>VLOOKUP($A154,'Institution Evaluation'!$A$56:$K$346,7,0)&amp;""</f>
        <v>Yes</v>
      </c>
      <c r="H154" s="10" t="str">
        <f>VLOOKUP($A154,'Institution Evaluation'!$A$56:$K$346,8,0)&amp;""</f>
        <v/>
      </c>
      <c r="I154" s="10" t="str">
        <f>VLOOKUP($A154,'Institution Evaluation'!$A$56:$K$346,9,0)&amp;""</f>
        <v>Critical Importance</v>
      </c>
      <c r="J154" s="10" t="str">
        <f>VLOOKUP($A154,'Institution Evaluation'!$A$56:$K$346,10,0)&amp;""</f>
        <v/>
      </c>
      <c r="K154" s="10">
        <f t="shared" si="31"/>
        <v>20</v>
      </c>
      <c r="L154" s="114">
        <f>IF($E154="Not Scored", "N/A",IF(AND($D154='Auto Responses'!$J$27,$H154=""),"N/A",IF(AND($D154='Auto Responses'!$J$27,$H154='Auto Responses'!$J$7),1,IF(AND($D154='Auto Responses'!$J$27,$H154='Auto Responses'!$J$8),0,IF(OR($F154=$G154,$H154='Auto Responses'!$J$7),1,0)))))</f>
        <v>1</v>
      </c>
      <c r="M154" s="10" t="str">
        <f>VLOOKUP($A154,'Institution Evaluation'!$A$56:$K$346,10,0)&amp;""</f>
        <v/>
      </c>
      <c r="N154" s="10">
        <f t="shared" si="32"/>
        <v>1</v>
      </c>
      <c r="O154" s="114">
        <f>IF(OR($F$17="No",$E154="Not Scored",$F154="N/A"),"N/A",IF($J154="",$K154,IF($J154="Minor Importance",5,IF($J154="Standard Importance",10,IF($J154="Critical Importance",20,0)))))</f>
        <v>20</v>
      </c>
      <c r="P154" s="114">
        <f t="shared" si="34"/>
        <v>20</v>
      </c>
      <c r="Q154" s="114">
        <f t="shared" si="26"/>
        <v>0</v>
      </c>
      <c r="R154" s="114">
        <f t="shared" si="35"/>
        <v>0</v>
      </c>
      <c r="S154" s="114">
        <f t="shared" si="27"/>
        <v>0</v>
      </c>
      <c r="T154" s="114">
        <f t="shared" si="28"/>
        <v>1</v>
      </c>
      <c r="U154" s="114">
        <f t="shared" si="36"/>
        <v>50</v>
      </c>
      <c r="V154" s="114">
        <f t="shared" si="29"/>
        <v>50</v>
      </c>
    </row>
    <row r="155" spans="1:22" ht="60">
      <c r="A155" s="10" t="str">
        <f>Questions!$A155</f>
        <v>FIDP-05</v>
      </c>
      <c r="B155" s="10" t="str">
        <f t="shared" si="30"/>
        <v>FIDP</v>
      </c>
      <c r="C155" s="10" t="str">
        <f>VLOOKUP($A155,Questions!$A$3:$L$333,2,0)&amp;""</f>
        <v>Are audit logs available for all changes to the network, firewall, IDS, and IPS systems?*</v>
      </c>
      <c r="D155" s="10" t="str">
        <f>VLOOKUP($A155,Questions!$A$3:$L$333,11,0)&amp;""</f>
        <v/>
      </c>
      <c r="E155" s="10" t="str">
        <f>VLOOKUP($A155,Questions!$A$3:$L$333,12,0)&amp;""</f>
        <v>Infrastructure</v>
      </c>
      <c r="F155" s="10" t="str">
        <f>VLOOKUP($A155,'Institution Evaluation'!$A$56:$K$346,3,0)&amp;""</f>
        <v>yes</v>
      </c>
      <c r="G155" s="10" t="str">
        <f>VLOOKUP($A155,'Institution Evaluation'!$A$56:$K$346,7,0)&amp;""</f>
        <v>Yes</v>
      </c>
      <c r="H155" s="10" t="str">
        <f>VLOOKUP($A155,'Institution Evaluation'!$A$56:$K$346,8,0)&amp;""</f>
        <v/>
      </c>
      <c r="I155" s="10" t="str">
        <f>VLOOKUP($A155,'Institution Evaluation'!$A$56:$K$346,9,0)&amp;""</f>
        <v>Critical Importance</v>
      </c>
      <c r="J155" s="10" t="str">
        <f>VLOOKUP($A155,'Institution Evaluation'!$A$56:$K$346,10,0)&amp;""</f>
        <v/>
      </c>
      <c r="K155" s="10">
        <f t="shared" si="31"/>
        <v>20</v>
      </c>
      <c r="L155" s="114">
        <f>IF($E155="Not Scored", "N/A",IF(AND($D155='Auto Responses'!$J$27,$H155=""),"N/A",IF(AND($D155='Auto Responses'!$J$27,$H155='Auto Responses'!$J$7),1,IF(AND($D155='Auto Responses'!$J$27,$H155='Auto Responses'!$J$8),0,IF(OR($F155=$G155,$H155='Auto Responses'!$J$7),1,0)))))</f>
        <v>1</v>
      </c>
      <c r="M155" s="10" t="str">
        <f>VLOOKUP($A155,'Institution Evaluation'!$A$56:$K$346,10,0)&amp;""</f>
        <v/>
      </c>
      <c r="N155" s="10">
        <f t="shared" si="32"/>
        <v>1</v>
      </c>
      <c r="O155" s="114">
        <f t="shared" si="38"/>
        <v>20</v>
      </c>
      <c r="P155" s="114">
        <f t="shared" si="34"/>
        <v>20</v>
      </c>
      <c r="Q155" s="114">
        <f t="shared" si="26"/>
        <v>0</v>
      </c>
      <c r="R155" s="114">
        <f t="shared" si="35"/>
        <v>0</v>
      </c>
      <c r="S155" s="114">
        <f t="shared" si="27"/>
        <v>0</v>
      </c>
      <c r="T155" s="114">
        <f t="shared" si="28"/>
        <v>1</v>
      </c>
      <c r="U155" s="114">
        <f t="shared" si="36"/>
        <v>51</v>
      </c>
      <c r="V155" s="114">
        <f t="shared" si="29"/>
        <v>51</v>
      </c>
    </row>
    <row r="156" spans="1:22" ht="60">
      <c r="A156" s="10" t="str">
        <f>Questions!$A156</f>
        <v>FIDP-06</v>
      </c>
      <c r="B156" s="10" t="str">
        <f t="shared" si="30"/>
        <v>FIDP</v>
      </c>
      <c r="C156" s="10" t="str">
        <f>VLOOKUP($A156,Questions!$A$3:$L$333,2,0)&amp;""</f>
        <v>Is authority for firewall change approval documented? Please list approver names or titles in Additional Info.</v>
      </c>
      <c r="D156" s="10" t="str">
        <f>VLOOKUP($A156,Questions!$A$3:$L$333,11,0)&amp;""</f>
        <v/>
      </c>
      <c r="E156" s="10" t="str">
        <f>VLOOKUP($A156,Questions!$A$3:$L$333,12,0)&amp;""</f>
        <v>Infrastructure</v>
      </c>
      <c r="F156" s="10" t="str">
        <f>VLOOKUP($A156,'Institution Evaluation'!$A$56:$K$346,3,0)&amp;""</f>
        <v>yes</v>
      </c>
      <c r="G156" s="10" t="str">
        <f>VLOOKUP($A156,'Institution Evaluation'!$A$56:$K$346,7,0)&amp;""</f>
        <v>Yes</v>
      </c>
      <c r="H156" s="10" t="str">
        <f>VLOOKUP($A156,'Institution Evaluation'!$A$56:$K$346,8,0)&amp;""</f>
        <v/>
      </c>
      <c r="I156" s="10" t="str">
        <f>VLOOKUP($A156,'Institution Evaluation'!$A$56:$K$346,9,0)&amp;""</f>
        <v>Standard Importance</v>
      </c>
      <c r="J156" s="10" t="str">
        <f>VLOOKUP($A156,'Institution Evaluation'!$A$56:$K$346,10,0)&amp;""</f>
        <v/>
      </c>
      <c r="K156" s="10">
        <f t="shared" si="31"/>
        <v>10</v>
      </c>
      <c r="L156" s="114">
        <f>IF($E156="Not Scored", "N/A",IF(AND($D156='Auto Responses'!$J$27,$H156=""),"N/A",IF(AND($D156='Auto Responses'!$J$27,$H156='Auto Responses'!$J$7),1,IF(AND($D156='Auto Responses'!$J$27,$H156='Auto Responses'!$J$8),0,IF(OR($F156=$G156,$H156='Auto Responses'!$J$7),1,0)))))</f>
        <v>1</v>
      </c>
      <c r="M156" s="10" t="str">
        <f>VLOOKUP($A156,'Institution Evaluation'!$A$56:$K$346,10,0)&amp;""</f>
        <v/>
      </c>
      <c r="N156" s="10">
        <f t="shared" si="32"/>
        <v>0</v>
      </c>
      <c r="O156" s="114">
        <f t="shared" si="38"/>
        <v>10</v>
      </c>
      <c r="P156" s="114">
        <f t="shared" si="34"/>
        <v>10</v>
      </c>
      <c r="Q156" s="114">
        <f t="shared" si="26"/>
        <v>0</v>
      </c>
      <c r="R156" s="114">
        <f t="shared" si="35"/>
        <v>0</v>
      </c>
      <c r="S156" s="114">
        <f t="shared" si="27"/>
        <v>0</v>
      </c>
      <c r="T156" s="114">
        <f t="shared" si="28"/>
        <v>0</v>
      </c>
      <c r="U156" s="114">
        <f t="shared" si="36"/>
        <v>51</v>
      </c>
      <c r="V156" s="114">
        <f t="shared" si="29"/>
        <v>0</v>
      </c>
    </row>
    <row r="157" spans="1:22" ht="60">
      <c r="A157" s="10" t="str">
        <f>Questions!$A157</f>
        <v>FIDP-07</v>
      </c>
      <c r="B157" s="10" t="str">
        <f t="shared" si="30"/>
        <v>FIDP</v>
      </c>
      <c r="C157" s="10" t="str">
        <f>VLOOKUP($A157,Questions!$A$3:$L$333,2,0)&amp;""</f>
        <v>Have you implemented an intrusion prevention system (network-based)?</v>
      </c>
      <c r="D157" s="10" t="str">
        <f>VLOOKUP($A157,Questions!$A$3:$L$333,11,0)&amp;""</f>
        <v/>
      </c>
      <c r="E157" s="10" t="str">
        <f>VLOOKUP($A157,Questions!$A$3:$L$333,12,0)&amp;""</f>
        <v>Infrastructure</v>
      </c>
      <c r="F157" s="10" t="str">
        <f>VLOOKUP($A157,'Institution Evaluation'!$A$56:$K$346,3,0)&amp;""</f>
        <v>yes</v>
      </c>
      <c r="G157" s="10" t="str">
        <f>VLOOKUP($A157,'Institution Evaluation'!$A$56:$K$346,7,0)&amp;""</f>
        <v>Yes</v>
      </c>
      <c r="H157" s="10" t="str">
        <f>VLOOKUP($A157,'Institution Evaluation'!$A$56:$K$346,8,0)&amp;""</f>
        <v/>
      </c>
      <c r="I157" s="10" t="str">
        <f>VLOOKUP($A157,'Institution Evaluation'!$A$56:$K$346,9,0)&amp;""</f>
        <v>Standard Importance</v>
      </c>
      <c r="J157" s="10" t="str">
        <f>VLOOKUP($A157,'Institution Evaluation'!$A$56:$K$346,10,0)&amp;""</f>
        <v/>
      </c>
      <c r="K157" s="10">
        <f t="shared" si="31"/>
        <v>10</v>
      </c>
      <c r="L157" s="114">
        <f>IF($E157="Not Scored", "N/A",IF(AND($D157='Auto Responses'!$J$27,$H157=""),"N/A",IF(AND($D157='Auto Responses'!$J$27,$H157='Auto Responses'!$J$7),1,IF(AND($D157='Auto Responses'!$J$27,$H157='Auto Responses'!$J$8),0,IF(OR($F157=$G157,$H157='Auto Responses'!$J$7),1,0)))))</f>
        <v>1</v>
      </c>
      <c r="M157" s="10" t="str">
        <f>VLOOKUP($A157,'Institution Evaluation'!$A$56:$K$346,10,0)&amp;""</f>
        <v/>
      </c>
      <c r="N157" s="10">
        <f t="shared" si="32"/>
        <v>0</v>
      </c>
      <c r="O157" s="114">
        <f t="shared" si="38"/>
        <v>10</v>
      </c>
      <c r="P157" s="114">
        <f t="shared" si="34"/>
        <v>10</v>
      </c>
      <c r="Q157" s="114">
        <f t="shared" si="26"/>
        <v>0</v>
      </c>
      <c r="R157" s="114">
        <f t="shared" si="35"/>
        <v>0</v>
      </c>
      <c r="S157" s="114">
        <f t="shared" si="27"/>
        <v>0</v>
      </c>
      <c r="T157" s="114">
        <f t="shared" si="28"/>
        <v>0</v>
      </c>
      <c r="U157" s="114">
        <f t="shared" si="36"/>
        <v>51</v>
      </c>
      <c r="V157" s="114">
        <f t="shared" si="29"/>
        <v>0</v>
      </c>
    </row>
    <row r="158" spans="1:22" ht="60">
      <c r="A158" s="10" t="str">
        <f>Questions!$A158</f>
        <v>FIDP-08</v>
      </c>
      <c r="B158" s="10" t="str">
        <f t="shared" si="30"/>
        <v>FIDP</v>
      </c>
      <c r="C158" s="10" t="str">
        <f>VLOOKUP($A158,Questions!$A$3:$L$333,2,0)&amp;""</f>
        <v>Do you employ host-based intrusion prevention?</v>
      </c>
      <c r="D158" s="10" t="str">
        <f>VLOOKUP($A158,Questions!$A$3:$L$333,11,0)&amp;""</f>
        <v/>
      </c>
      <c r="E158" s="10" t="str">
        <f>VLOOKUP($A158,Questions!$A$3:$L$333,12,0)&amp;""</f>
        <v>Infrastructure</v>
      </c>
      <c r="F158" s="10" t="str">
        <f>VLOOKUP($A158,'Institution Evaluation'!$A$56:$K$346,3,0)&amp;""</f>
        <v>yes</v>
      </c>
      <c r="G158" s="10" t="str">
        <f>VLOOKUP($A158,'Institution Evaluation'!$A$56:$K$346,7,0)&amp;""</f>
        <v>Yes</v>
      </c>
      <c r="H158" s="10" t="str">
        <f>VLOOKUP($A158,'Institution Evaluation'!$A$56:$K$346,8,0)&amp;""</f>
        <v/>
      </c>
      <c r="I158" s="10" t="str">
        <f>VLOOKUP($A158,'Institution Evaluation'!$A$56:$K$346,9,0)&amp;""</f>
        <v>Standard Importance</v>
      </c>
      <c r="J158" s="10" t="str">
        <f>VLOOKUP($A158,'Institution Evaluation'!$A$56:$K$346,10,0)&amp;""</f>
        <v/>
      </c>
      <c r="K158" s="10">
        <f t="shared" si="31"/>
        <v>10</v>
      </c>
      <c r="L158" s="114">
        <f>IF($E158="Not Scored", "N/A",IF(AND($D158='Auto Responses'!$J$27,$H158=""),"N/A",IF(AND($D158='Auto Responses'!$J$27,$H158='Auto Responses'!$J$7),1,IF(AND($D158='Auto Responses'!$J$27,$H158='Auto Responses'!$J$8),0,IF(OR($F158=$G158,$H158='Auto Responses'!$J$7),1,0)))))</f>
        <v>1</v>
      </c>
      <c r="M158" s="10" t="str">
        <f>VLOOKUP($A158,'Institution Evaluation'!$A$56:$K$346,10,0)&amp;""</f>
        <v/>
      </c>
      <c r="N158" s="10">
        <f t="shared" si="32"/>
        <v>0</v>
      </c>
      <c r="O158" s="114">
        <f>IF(OR($F$17="No",$E158="Not Scored",$F158="N/A"),"N/A",IF($J158="",$K158,IF($J158="Minor Importance",5,IF($J158="Standard Importance",10,IF($J158="Critical Importance",20,0)))))</f>
        <v>10</v>
      </c>
      <c r="P158" s="114">
        <f t="shared" si="34"/>
        <v>10</v>
      </c>
      <c r="Q158" s="114">
        <f t="shared" si="26"/>
        <v>0</v>
      </c>
      <c r="R158" s="114">
        <f t="shared" si="35"/>
        <v>0</v>
      </c>
      <c r="S158" s="114">
        <f t="shared" si="27"/>
        <v>0</v>
      </c>
      <c r="T158" s="114">
        <f t="shared" si="28"/>
        <v>0</v>
      </c>
      <c r="U158" s="114">
        <f t="shared" si="36"/>
        <v>51</v>
      </c>
      <c r="V158" s="114">
        <f t="shared" si="29"/>
        <v>0</v>
      </c>
    </row>
    <row r="159" spans="1:22" ht="60">
      <c r="A159" s="10" t="str">
        <f>Questions!$A159</f>
        <v>FIDP-09</v>
      </c>
      <c r="B159" s="10" t="str">
        <f t="shared" si="30"/>
        <v>FIDP</v>
      </c>
      <c r="C159" s="10" t="str">
        <f>VLOOKUP($A159,Questions!$A$3:$L$333,2,0)&amp;""</f>
        <v>Are you employing any next-generation persistent threat (NGPT) monitoring?</v>
      </c>
      <c r="D159" s="10" t="str">
        <f>VLOOKUP($A159,Questions!$A$3:$L$333,11,0)&amp;""</f>
        <v/>
      </c>
      <c r="E159" s="10" t="str">
        <f>VLOOKUP($A159,Questions!$A$3:$L$333,12,0)&amp;""</f>
        <v>Infrastructure</v>
      </c>
      <c r="F159" s="10" t="str">
        <f>VLOOKUP($A159,'Institution Evaluation'!$A$56:$K$346,3,0)&amp;""</f>
        <v>yes</v>
      </c>
      <c r="G159" s="10" t="str">
        <f>VLOOKUP($A159,'Institution Evaluation'!$A$56:$K$346,7,0)&amp;""</f>
        <v>Yes</v>
      </c>
      <c r="H159" s="10" t="str">
        <f>VLOOKUP($A159,'Institution Evaluation'!$A$56:$K$346,8,0)&amp;""</f>
        <v/>
      </c>
      <c r="I159" s="10" t="str">
        <f>VLOOKUP($A159,'Institution Evaluation'!$A$56:$K$346,9,0)&amp;""</f>
        <v>Standard Importance</v>
      </c>
      <c r="J159" s="10" t="str">
        <f>VLOOKUP($A159,'Institution Evaluation'!$A$56:$K$346,10,0)&amp;""</f>
        <v/>
      </c>
      <c r="K159" s="10">
        <f t="shared" si="31"/>
        <v>10</v>
      </c>
      <c r="L159" s="114">
        <f>IF($E159="Not Scored", "N/A",IF(AND($D159='Auto Responses'!$J$27,$H159=""),"N/A",IF(AND($D159='Auto Responses'!$J$27,$H159='Auto Responses'!$J$7),1,IF(AND($D159='Auto Responses'!$J$27,$H159='Auto Responses'!$J$8),0,IF(OR($F159=$G159,$H159='Auto Responses'!$J$7),1,0)))))</f>
        <v>1</v>
      </c>
      <c r="M159" s="10" t="str">
        <f>VLOOKUP($A159,'Institution Evaluation'!$A$56:$K$346,10,0)&amp;""</f>
        <v/>
      </c>
      <c r="N159" s="10">
        <f t="shared" si="32"/>
        <v>0</v>
      </c>
      <c r="O159" s="114">
        <f t="shared" si="38"/>
        <v>10</v>
      </c>
      <c r="P159" s="114">
        <f t="shared" si="34"/>
        <v>10</v>
      </c>
      <c r="Q159" s="114">
        <f t="shared" si="26"/>
        <v>0</v>
      </c>
      <c r="R159" s="114">
        <f t="shared" si="35"/>
        <v>0</v>
      </c>
      <c r="S159" s="114">
        <f t="shared" si="27"/>
        <v>0</v>
      </c>
      <c r="T159" s="114">
        <f t="shared" si="28"/>
        <v>0</v>
      </c>
      <c r="U159" s="114">
        <f t="shared" si="36"/>
        <v>51</v>
      </c>
      <c r="V159" s="114">
        <f t="shared" si="29"/>
        <v>0</v>
      </c>
    </row>
    <row r="160" spans="1:22" ht="60">
      <c r="A160" s="10" t="str">
        <f>Questions!$A160</f>
        <v>FIDP-10</v>
      </c>
      <c r="B160" s="10" t="str">
        <f t="shared" si="30"/>
        <v>FIDP</v>
      </c>
      <c r="C160" s="10" t="str">
        <f>VLOOKUP($A160,Questions!$A$3:$L$333,2,0)&amp;""</f>
        <v>Is intrusion monitoring performed internally or by a third-party service?</v>
      </c>
      <c r="D160" s="10" t="str">
        <f>VLOOKUP($A160,Questions!$A$3:$L$333,11,0)&amp;""</f>
        <v/>
      </c>
      <c r="E160" s="10" t="str">
        <f>VLOOKUP($A160,Questions!$A$3:$L$333,12,0)&amp;""</f>
        <v>Not scored</v>
      </c>
      <c r="F160" s="10" t="str">
        <f>VLOOKUP($A160,'Institution Evaluation'!$A$56:$K$346,3,0)&amp;""</f>
        <v/>
      </c>
      <c r="G160" s="10" t="str">
        <f>VLOOKUP($A160,'Institution Evaluation'!$A$56:$K$346,7,0)&amp;""</f>
        <v>Not scored</v>
      </c>
      <c r="H160" s="10" t="str">
        <f>VLOOKUP($A160,'Institution Evaluation'!$A$56:$K$346,8,0)&amp;""</f>
        <v/>
      </c>
      <c r="I160" s="10" t="str">
        <f>VLOOKUP($A160,'Institution Evaluation'!$A$56:$K$346,9,0)&amp;""</f>
        <v>Standard Importance</v>
      </c>
      <c r="J160" s="10" t="str">
        <f>VLOOKUP($A160,'Institution Evaluation'!$A$56:$K$346,10,0)&amp;""</f>
        <v/>
      </c>
      <c r="K160" s="10">
        <f t="shared" si="31"/>
        <v>10</v>
      </c>
      <c r="L160" s="114" t="str">
        <f>IF($E160="Not Scored", "N/A",IF(AND($D160='Auto Responses'!$J$27,$H160=""),"N/A",IF(AND($D160='Auto Responses'!$J$27,$H160='Auto Responses'!$J$7),1,IF(AND($D160='Auto Responses'!$J$27,$H160='Auto Responses'!$J$8),0,IF(OR($F160=$G160,$H160='Auto Responses'!$J$7),1,0)))))</f>
        <v>N/A</v>
      </c>
      <c r="M160" s="10" t="str">
        <f>VLOOKUP($A160,'Institution Evaluation'!$A$56:$K$346,10,0)&amp;""</f>
        <v/>
      </c>
      <c r="N160" s="10">
        <f t="shared" si="32"/>
        <v>0</v>
      </c>
      <c r="O160" s="114" t="str">
        <f t="shared" si="38"/>
        <v>N/A</v>
      </c>
      <c r="P160" s="114" t="str">
        <f t="shared" si="34"/>
        <v>N/A</v>
      </c>
      <c r="Q160" s="114">
        <f t="shared" si="26"/>
        <v>0</v>
      </c>
      <c r="R160" s="114">
        <f t="shared" si="35"/>
        <v>0</v>
      </c>
      <c r="S160" s="114">
        <f t="shared" si="27"/>
        <v>0</v>
      </c>
      <c r="T160" s="114">
        <f t="shared" si="28"/>
        <v>0</v>
      </c>
      <c r="U160" s="114">
        <f t="shared" si="36"/>
        <v>51</v>
      </c>
      <c r="V160" s="114">
        <f t="shared" si="29"/>
        <v>0</v>
      </c>
    </row>
    <row r="161" spans="1:22" ht="60">
      <c r="A161" s="10" t="str">
        <f>Questions!$A161</f>
        <v>FIDP-11</v>
      </c>
      <c r="B161" s="10" t="str">
        <f t="shared" si="30"/>
        <v>FIDP</v>
      </c>
      <c r="C161" s="10" t="str">
        <f>VLOOKUP($A161,Questions!$A$3:$L$333,2,0)&amp;""</f>
        <v>Do you monitor for intrusions on a 24 x 7 x 365 basis?</v>
      </c>
      <c r="D161" s="10" t="str">
        <f>VLOOKUP($A161,Questions!$A$3:$L$333,11,0)&amp;""</f>
        <v/>
      </c>
      <c r="E161" s="10" t="str">
        <f>VLOOKUP($A161,Questions!$A$3:$L$333,12,0)&amp;""</f>
        <v>Infrastructure</v>
      </c>
      <c r="F161" s="10" t="str">
        <f>VLOOKUP($A161,'Institution Evaluation'!$A$56:$K$346,3,0)&amp;""</f>
        <v>yes</v>
      </c>
      <c r="G161" s="10" t="str">
        <f>VLOOKUP($A161,'Institution Evaluation'!$A$56:$K$346,7,0)&amp;""</f>
        <v>Yes</v>
      </c>
      <c r="H161" s="10" t="str">
        <f>VLOOKUP($A161,'Institution Evaluation'!$A$56:$K$346,8,0)&amp;""</f>
        <v/>
      </c>
      <c r="I161" s="10" t="str">
        <f>VLOOKUP($A161,'Institution Evaluation'!$A$56:$K$346,9,0)&amp;""</f>
        <v>Minor Importance</v>
      </c>
      <c r="J161" s="10" t="str">
        <f>VLOOKUP($A161,'Institution Evaluation'!$A$56:$K$346,10,0)&amp;""</f>
        <v/>
      </c>
      <c r="K161" s="10">
        <f t="shared" si="31"/>
        <v>5</v>
      </c>
      <c r="L161" s="114">
        <f>IF($E161="Not Scored", "N/A",IF(AND($D161='Auto Responses'!$J$27,$H161=""),"N/A",IF(AND($D161='Auto Responses'!$J$27,$H161='Auto Responses'!$J$7),1,IF(AND($D161='Auto Responses'!$J$27,$H161='Auto Responses'!$J$8),0,IF(OR($F161=$G161,$H161='Auto Responses'!$J$7),1,0)))))</f>
        <v>1</v>
      </c>
      <c r="M161" s="10" t="str">
        <f>VLOOKUP($A161,'Institution Evaluation'!$A$56:$K$346,10,0)&amp;""</f>
        <v/>
      </c>
      <c r="N161" s="10">
        <f t="shared" si="32"/>
        <v>0</v>
      </c>
      <c r="O161" s="114">
        <f t="shared" si="38"/>
        <v>5</v>
      </c>
      <c r="P161" s="114">
        <f t="shared" si="34"/>
        <v>5</v>
      </c>
      <c r="Q161" s="114">
        <f t="shared" si="26"/>
        <v>0</v>
      </c>
      <c r="R161" s="114">
        <f t="shared" si="35"/>
        <v>0</v>
      </c>
      <c r="S161" s="114">
        <f t="shared" si="27"/>
        <v>0</v>
      </c>
      <c r="T161" s="114">
        <f t="shared" si="28"/>
        <v>0</v>
      </c>
      <c r="U161" s="114">
        <f t="shared" si="36"/>
        <v>51</v>
      </c>
      <c r="V161" s="114">
        <f t="shared" si="29"/>
        <v>0</v>
      </c>
    </row>
    <row r="162" spans="1:22" ht="60">
      <c r="A162" s="10" t="str">
        <f>Questions!$A162</f>
        <v>PPPR-01</v>
      </c>
      <c r="B162" s="10" t="str">
        <f t="shared" si="30"/>
        <v>PPPR</v>
      </c>
      <c r="C162" s="10" t="str">
        <f>VLOOKUP($A162,Questions!$A$3:$L$333,2,0)&amp;""</f>
        <v>Do you have a documented patch management process?*</v>
      </c>
      <c r="D162" s="10" t="str">
        <f>VLOOKUP($A162,Questions!$A$3:$L$333,11,0)&amp;""</f>
        <v/>
      </c>
      <c r="E162" s="10" t="str">
        <f>VLOOKUP($A162,Questions!$A$3:$L$333,12,0)&amp;""</f>
        <v>Organization</v>
      </c>
      <c r="F162" s="10" t="str">
        <f>VLOOKUP($A162,'Institution Evaluation'!$A$56:$K$346,3,0)&amp;""</f>
        <v>yes</v>
      </c>
      <c r="G162" s="10" t="str">
        <f>VLOOKUP($A162,'Institution Evaluation'!$A$56:$K$346,7,0)&amp;""</f>
        <v>Yes</v>
      </c>
      <c r="H162" s="10" t="str">
        <f>VLOOKUP($A162,'Institution Evaluation'!$A$56:$K$346,8,0)&amp;""</f>
        <v/>
      </c>
      <c r="I162" s="10" t="str">
        <f>VLOOKUP($A162,'Institution Evaluation'!$A$56:$K$346,9,0)&amp;""</f>
        <v>Critical Importance</v>
      </c>
      <c r="J162" s="10" t="str">
        <f>VLOOKUP($A162,'Institution Evaluation'!$A$56:$K$346,10,0)&amp;""</f>
        <v/>
      </c>
      <c r="K162" s="10">
        <f t="shared" si="31"/>
        <v>20</v>
      </c>
      <c r="L162" s="114">
        <f>IF($E162="Not Scored", "N/A",IF(AND($D162='Auto Responses'!$J$27,$H162=""),"N/A",IF(AND($D162='Auto Responses'!$J$27,$H162='Auto Responses'!$J$7),1,IF(AND($D162='Auto Responses'!$J$27,$H162='Auto Responses'!$J$8),0,IF(OR($F162=$G162,$H162='Auto Responses'!$J$7),1,0)))))</f>
        <v>1</v>
      </c>
      <c r="M162" s="10" t="str">
        <f>VLOOKUP($A162,'Institution Evaluation'!$A$56:$K$346,10,0)&amp;""</f>
        <v/>
      </c>
      <c r="N162" s="10">
        <f t="shared" si="32"/>
        <v>1</v>
      </c>
      <c r="O162" s="114">
        <f t="shared" si="33"/>
        <v>20</v>
      </c>
      <c r="P162" s="114">
        <f t="shared" si="34"/>
        <v>20</v>
      </c>
      <c r="Q162" s="114">
        <f t="shared" si="26"/>
        <v>0</v>
      </c>
      <c r="R162" s="114">
        <f t="shared" si="35"/>
        <v>0</v>
      </c>
      <c r="S162" s="114">
        <f t="shared" si="27"/>
        <v>0</v>
      </c>
      <c r="T162" s="114">
        <f t="shared" si="28"/>
        <v>1</v>
      </c>
      <c r="U162" s="114">
        <f t="shared" si="36"/>
        <v>52</v>
      </c>
      <c r="V162" s="114">
        <f t="shared" si="29"/>
        <v>52</v>
      </c>
    </row>
    <row r="163" spans="1:22" ht="60">
      <c r="A163" s="10" t="str">
        <f>Questions!$A163</f>
        <v>PPPR-02</v>
      </c>
      <c r="B163" s="10" t="str">
        <f t="shared" si="30"/>
        <v>PPPR</v>
      </c>
      <c r="C163" s="10" t="str">
        <f>VLOOKUP($A163,Questions!$A$3:$L$333,2,0)&amp;""</f>
        <v>Can your organization comply with institutional policies on privacy and data protection with regard to users of institutional systems, if required?*</v>
      </c>
      <c r="D163" s="10" t="str">
        <f>VLOOKUP($A163,Questions!$A$3:$L$333,11,0)&amp;""</f>
        <v/>
      </c>
      <c r="E163" s="10" t="str">
        <f>VLOOKUP($A163,Questions!$A$3:$L$333,12,0)&amp;""</f>
        <v>Organization</v>
      </c>
      <c r="F163" s="10" t="str">
        <f>VLOOKUP($A163,'Institution Evaluation'!$A$56:$K$346,3,0)&amp;""</f>
        <v>yes</v>
      </c>
      <c r="G163" s="10" t="str">
        <f>VLOOKUP($A163,'Institution Evaluation'!$A$56:$K$346,7,0)&amp;""</f>
        <v>Yes</v>
      </c>
      <c r="H163" s="10" t="str">
        <f>VLOOKUP($A163,'Institution Evaluation'!$A$56:$K$346,8,0)&amp;""</f>
        <v/>
      </c>
      <c r="I163" s="10" t="str">
        <f>VLOOKUP($A163,'Institution Evaluation'!$A$56:$K$346,9,0)&amp;""</f>
        <v>Critical Importance</v>
      </c>
      <c r="J163" s="10" t="str">
        <f>VLOOKUP($A163,'Institution Evaluation'!$A$56:$K$346,10,0)&amp;""</f>
        <v/>
      </c>
      <c r="K163" s="10">
        <f t="shared" si="31"/>
        <v>20</v>
      </c>
      <c r="L163" s="114">
        <f>IF($E163="Not Scored", "N/A",IF(AND($D163='Auto Responses'!$J$27,$H163=""),"N/A",IF(AND($D163='Auto Responses'!$J$27,$H163='Auto Responses'!$J$7),1,IF(AND($D163='Auto Responses'!$J$27,$H163='Auto Responses'!$J$8),0,IF(OR($F163=$G163,$H163='Auto Responses'!$J$7),1,0)))))</f>
        <v>1</v>
      </c>
      <c r="M163" s="10" t="str">
        <f>VLOOKUP($A163,'Institution Evaluation'!$A$56:$K$346,10,0)&amp;""</f>
        <v/>
      </c>
      <c r="N163" s="10">
        <f t="shared" si="32"/>
        <v>1</v>
      </c>
      <c r="O163" s="114">
        <f t="shared" si="33"/>
        <v>20</v>
      </c>
      <c r="P163" s="114">
        <f t="shared" si="34"/>
        <v>20</v>
      </c>
      <c r="Q163" s="114">
        <f t="shared" si="26"/>
        <v>0</v>
      </c>
      <c r="R163" s="114">
        <f t="shared" si="35"/>
        <v>0</v>
      </c>
      <c r="S163" s="114">
        <f t="shared" si="27"/>
        <v>0</v>
      </c>
      <c r="T163" s="114">
        <f t="shared" si="28"/>
        <v>1</v>
      </c>
      <c r="U163" s="114">
        <f t="shared" si="36"/>
        <v>53</v>
      </c>
      <c r="V163" s="114">
        <f t="shared" si="29"/>
        <v>53</v>
      </c>
    </row>
    <row r="164" spans="1:22" ht="60">
      <c r="A164" s="10" t="str">
        <f>Questions!$A164</f>
        <v>PPPR-03</v>
      </c>
      <c r="B164" s="10" t="str">
        <f t="shared" si="30"/>
        <v>PPPR</v>
      </c>
      <c r="C164" s="10" t="str">
        <f>VLOOKUP($A164,Questions!$A$3:$L$333,2,0)&amp;""</f>
        <v>Is your company subject to the institution's geographic region's laws and regulations?*</v>
      </c>
      <c r="D164" s="10" t="str">
        <f>VLOOKUP($A164,Questions!$A$3:$L$333,11,0)&amp;""</f>
        <v/>
      </c>
      <c r="E164" s="10" t="str">
        <f>VLOOKUP($A164,Questions!$A$3:$L$333,12,0)&amp;""</f>
        <v>Organization</v>
      </c>
      <c r="F164" s="10" t="str">
        <f>VLOOKUP($A164,'Institution Evaluation'!$A$56:$K$346,3,0)&amp;""</f>
        <v>yes</v>
      </c>
      <c r="G164" s="10" t="str">
        <f>VLOOKUP($A164,'Institution Evaluation'!$A$56:$K$346,7,0)&amp;""</f>
        <v>Yes</v>
      </c>
      <c r="H164" s="10" t="str">
        <f>VLOOKUP($A164,'Institution Evaluation'!$A$56:$K$346,8,0)&amp;""</f>
        <v/>
      </c>
      <c r="I164" s="10" t="str">
        <f>VLOOKUP($A164,'Institution Evaluation'!$A$56:$K$346,9,0)&amp;""</f>
        <v>Critical Importance</v>
      </c>
      <c r="J164" s="10" t="str">
        <f>VLOOKUP($A164,'Institution Evaluation'!$A$56:$K$346,10,0)&amp;""</f>
        <v/>
      </c>
      <c r="K164" s="10">
        <f t="shared" si="31"/>
        <v>20</v>
      </c>
      <c r="L164" s="114">
        <f>IF($E164="Not Scored", "N/A",IF(AND($D164='Auto Responses'!$J$27,$H164=""),"N/A",IF(AND($D164='Auto Responses'!$J$27,$H164='Auto Responses'!$J$7),1,IF(AND($D164='Auto Responses'!$J$27,$H164='Auto Responses'!$J$8),0,IF(OR($F164=$G164,$H164='Auto Responses'!$J$7),1,0)))))</f>
        <v>1</v>
      </c>
      <c r="M164" s="10" t="str">
        <f>VLOOKUP($A164,'Institution Evaluation'!$A$56:$K$346,10,0)&amp;""</f>
        <v/>
      </c>
      <c r="N164" s="10">
        <f t="shared" si="32"/>
        <v>1</v>
      </c>
      <c r="O164" s="114">
        <f t="shared" si="33"/>
        <v>20</v>
      </c>
      <c r="P164" s="114">
        <f t="shared" si="34"/>
        <v>20</v>
      </c>
      <c r="Q164" s="114">
        <f t="shared" si="26"/>
        <v>0</v>
      </c>
      <c r="R164" s="114">
        <f t="shared" si="35"/>
        <v>0</v>
      </c>
      <c r="S164" s="114">
        <f t="shared" si="27"/>
        <v>0</v>
      </c>
      <c r="T164" s="114">
        <f t="shared" si="28"/>
        <v>1</v>
      </c>
      <c r="U164" s="114">
        <f t="shared" si="36"/>
        <v>54</v>
      </c>
      <c r="V164" s="114">
        <f t="shared" si="29"/>
        <v>54</v>
      </c>
    </row>
    <row r="165" spans="1:22" ht="60">
      <c r="A165" s="10" t="str">
        <f>Questions!$A165</f>
        <v>PPPR-04</v>
      </c>
      <c r="B165" s="10" t="str">
        <f t="shared" si="30"/>
        <v>PPPR</v>
      </c>
      <c r="C165" s="10" t="str">
        <f>VLOOKUP($A165,Questions!$A$3:$L$333,2,0)&amp;""</f>
        <v>Can you accommodate encryption requirements using open standards?</v>
      </c>
      <c r="D165" s="10" t="str">
        <f>VLOOKUP($A165,Questions!$A$3:$L$333,11,0)&amp;""</f>
        <v/>
      </c>
      <c r="E165" s="10" t="str">
        <f>VLOOKUP($A165,Questions!$A$3:$L$333,12,0)&amp;""</f>
        <v>Organization</v>
      </c>
      <c r="F165" s="10" t="str">
        <f>VLOOKUP($A165,'Institution Evaluation'!$A$56:$K$346,3,0)&amp;""</f>
        <v>yes</v>
      </c>
      <c r="G165" s="10" t="str">
        <f>VLOOKUP($A165,'Institution Evaluation'!$A$56:$K$346,7,0)&amp;""</f>
        <v>Yes</v>
      </c>
      <c r="H165" s="10" t="str">
        <f>VLOOKUP($A165,'Institution Evaluation'!$A$56:$K$346,8,0)&amp;""</f>
        <v/>
      </c>
      <c r="I165" s="10" t="str">
        <f>VLOOKUP($A165,'Institution Evaluation'!$A$56:$K$346,9,0)&amp;""</f>
        <v>Standard Importance</v>
      </c>
      <c r="J165" s="10" t="str">
        <f>VLOOKUP($A165,'Institution Evaluation'!$A$56:$K$346,10,0)&amp;""</f>
        <v/>
      </c>
      <c r="K165" s="10">
        <f t="shared" si="31"/>
        <v>10</v>
      </c>
      <c r="L165" s="114">
        <f>IF($E165="Not Scored", "N/A",IF(AND($D165='Auto Responses'!$J$27,$H165=""),"N/A",IF(AND($D165='Auto Responses'!$J$27,$H165='Auto Responses'!$J$7),1,IF(AND($D165='Auto Responses'!$J$27,$H165='Auto Responses'!$J$8),0,IF(OR($F165=$G165,$H165='Auto Responses'!$J$7),1,0)))))</f>
        <v>1</v>
      </c>
      <c r="M165" s="10" t="str">
        <f>VLOOKUP($A165,'Institution Evaluation'!$A$56:$K$346,10,0)&amp;""</f>
        <v/>
      </c>
      <c r="N165" s="10">
        <f t="shared" si="32"/>
        <v>0</v>
      </c>
      <c r="O165" s="114">
        <f t="shared" si="33"/>
        <v>10</v>
      </c>
      <c r="P165" s="114">
        <f t="shared" si="34"/>
        <v>10</v>
      </c>
      <c r="Q165" s="114">
        <f t="shared" si="26"/>
        <v>0</v>
      </c>
      <c r="R165" s="114">
        <f t="shared" si="35"/>
        <v>0</v>
      </c>
      <c r="S165" s="114">
        <f t="shared" si="27"/>
        <v>0</v>
      </c>
      <c r="T165" s="114">
        <f t="shared" si="28"/>
        <v>0</v>
      </c>
      <c r="U165" s="114">
        <f t="shared" si="36"/>
        <v>54</v>
      </c>
      <c r="V165" s="114">
        <f t="shared" si="29"/>
        <v>0</v>
      </c>
    </row>
    <row r="166" spans="1:22" ht="60">
      <c r="A166" s="10" t="str">
        <f>Questions!$A166</f>
        <v>PPPR-05</v>
      </c>
      <c r="B166" s="10" t="str">
        <f t="shared" si="30"/>
        <v>PPPR</v>
      </c>
      <c r="C166" s="10" t="str">
        <f>VLOOKUP($A166,Questions!$A$3:$L$333,2,0)&amp;""</f>
        <v>Do you have a documented systems development life cycle (SDLC)?</v>
      </c>
      <c r="D166" s="10" t="str">
        <f>VLOOKUP($A166,Questions!$A$3:$L$333,11,0)&amp;""</f>
        <v/>
      </c>
      <c r="E166" s="10" t="str">
        <f>VLOOKUP($A166,Questions!$A$3:$L$333,12,0)&amp;""</f>
        <v>Organization</v>
      </c>
      <c r="F166" s="10" t="str">
        <f>VLOOKUP($A166,'Institution Evaluation'!$A$56:$K$346,3,0)&amp;""</f>
        <v>yes</v>
      </c>
      <c r="G166" s="10" t="str">
        <f>VLOOKUP($A166,'Institution Evaluation'!$A$56:$K$346,7,0)&amp;""</f>
        <v>Yes</v>
      </c>
      <c r="H166" s="10" t="str">
        <f>VLOOKUP($A166,'Institution Evaluation'!$A$56:$K$346,8,0)&amp;""</f>
        <v/>
      </c>
      <c r="I166" s="10" t="str">
        <f>VLOOKUP($A166,'Institution Evaluation'!$A$56:$K$346,9,0)&amp;""</f>
        <v>Standard Importance</v>
      </c>
      <c r="J166" s="10" t="str">
        <f>VLOOKUP($A166,'Institution Evaluation'!$A$56:$K$346,10,0)&amp;""</f>
        <v/>
      </c>
      <c r="K166" s="10">
        <f t="shared" si="31"/>
        <v>10</v>
      </c>
      <c r="L166" s="114">
        <f>IF($E166="Not Scored", "N/A",IF(AND($D166='Auto Responses'!$J$27,$H166=""),"N/A",IF(AND($D166='Auto Responses'!$J$27,$H166='Auto Responses'!$J$7),1,IF(AND($D166='Auto Responses'!$J$27,$H166='Auto Responses'!$J$8),0,IF(OR($F166=$G166,$H166='Auto Responses'!$J$7),1,0)))))</f>
        <v>1</v>
      </c>
      <c r="M166" s="10" t="str">
        <f>VLOOKUP($A166,'Institution Evaluation'!$A$56:$K$346,10,0)&amp;""</f>
        <v/>
      </c>
      <c r="N166" s="10">
        <f t="shared" si="32"/>
        <v>0</v>
      </c>
      <c r="O166" s="114">
        <f t="shared" si="33"/>
        <v>10</v>
      </c>
      <c r="P166" s="114">
        <f t="shared" si="34"/>
        <v>10</v>
      </c>
      <c r="Q166" s="114">
        <f t="shared" si="26"/>
        <v>0</v>
      </c>
      <c r="R166" s="114">
        <f t="shared" si="35"/>
        <v>0</v>
      </c>
      <c r="S166" s="114">
        <f t="shared" si="27"/>
        <v>0</v>
      </c>
      <c r="T166" s="114">
        <f t="shared" si="28"/>
        <v>0</v>
      </c>
      <c r="U166" s="114">
        <f t="shared" si="36"/>
        <v>54</v>
      </c>
      <c r="V166" s="114">
        <f t="shared" si="29"/>
        <v>0</v>
      </c>
    </row>
    <row r="167" spans="1:22" ht="60">
      <c r="A167" s="10" t="str">
        <f>Questions!$A167</f>
        <v>PPPR-06</v>
      </c>
      <c r="B167" s="10" t="str">
        <f t="shared" si="30"/>
        <v>PPPR</v>
      </c>
      <c r="C167" s="10" t="str">
        <f>VLOOKUP($A167,Questions!$A$3:$L$333,2,0)&amp;""</f>
        <v>Do you perform background screenings or multi-state background checks on all employees prior to their first day of work?</v>
      </c>
      <c r="D167" s="10" t="str">
        <f>VLOOKUP($A167,Questions!$A$3:$L$333,11,0)&amp;""</f>
        <v/>
      </c>
      <c r="E167" s="10" t="str">
        <f>VLOOKUP($A167,Questions!$A$3:$L$333,12,0)&amp;""</f>
        <v>Organization</v>
      </c>
      <c r="F167" s="10" t="str">
        <f>VLOOKUP($A167,'Institution Evaluation'!$A$56:$K$346,3,0)&amp;""</f>
        <v>no</v>
      </c>
      <c r="G167" s="10" t="str">
        <f>VLOOKUP($A167,'Institution Evaluation'!$A$56:$K$346,7,0)&amp;""</f>
        <v>Yes</v>
      </c>
      <c r="H167" s="10" t="str">
        <f>VLOOKUP($A167,'Institution Evaluation'!$A$56:$K$346,8,0)&amp;""</f>
        <v/>
      </c>
      <c r="I167" s="10" t="str">
        <f>VLOOKUP($A167,'Institution Evaluation'!$A$56:$K$346,9,0)&amp;""</f>
        <v>Standard Importance</v>
      </c>
      <c r="J167" s="10" t="str">
        <f>VLOOKUP($A167,'Institution Evaluation'!$A$56:$K$346,10,0)&amp;""</f>
        <v/>
      </c>
      <c r="K167" s="10">
        <f t="shared" si="31"/>
        <v>10</v>
      </c>
      <c r="L167" s="114">
        <f>IF($E167="Not Scored", "N/A",IF(AND($D167='Auto Responses'!$J$27,$H167=""),"N/A",IF(AND($D167='Auto Responses'!$J$27,$H167='Auto Responses'!$J$7),1,IF(AND($D167='Auto Responses'!$J$27,$H167='Auto Responses'!$J$8),0,IF(OR($F167=$G167,$H167='Auto Responses'!$J$7),1,0)))))</f>
        <v>0</v>
      </c>
      <c r="M167" s="10" t="str">
        <f>VLOOKUP($A167,'Institution Evaluation'!$A$56:$K$346,10,0)&amp;""</f>
        <v/>
      </c>
      <c r="N167" s="10">
        <f t="shared" si="32"/>
        <v>0</v>
      </c>
      <c r="O167" s="114">
        <f t="shared" si="33"/>
        <v>10</v>
      </c>
      <c r="P167" s="114">
        <f t="shared" si="34"/>
        <v>0</v>
      </c>
      <c r="Q167" s="114">
        <f t="shared" si="26"/>
        <v>0</v>
      </c>
      <c r="R167" s="114">
        <f t="shared" si="35"/>
        <v>0</v>
      </c>
      <c r="S167" s="114">
        <f t="shared" si="27"/>
        <v>0</v>
      </c>
      <c r="T167" s="114">
        <f t="shared" si="28"/>
        <v>0</v>
      </c>
      <c r="U167" s="114">
        <f t="shared" si="36"/>
        <v>54</v>
      </c>
      <c r="V167" s="114">
        <f t="shared" si="29"/>
        <v>0</v>
      </c>
    </row>
    <row r="168" spans="1:22" ht="60">
      <c r="A168" s="10" t="str">
        <f>Questions!$A168</f>
        <v>PPPR-07</v>
      </c>
      <c r="B168" s="10" t="str">
        <f t="shared" si="30"/>
        <v>PPPR</v>
      </c>
      <c r="C168" s="10" t="str">
        <f>VLOOKUP($A168,Questions!$A$3:$L$333,2,0)&amp;""</f>
        <v>Do you require new employees to fill out agreements and review policies?</v>
      </c>
      <c r="D168" s="10" t="str">
        <f>VLOOKUP($A168,Questions!$A$3:$L$333,11,0)&amp;""</f>
        <v/>
      </c>
      <c r="E168" s="10" t="str">
        <f>VLOOKUP($A168,Questions!$A$3:$L$333,12,0)&amp;""</f>
        <v>Organization</v>
      </c>
      <c r="F168" s="10" t="str">
        <f>VLOOKUP($A168,'Institution Evaluation'!$A$56:$K$346,3,0)&amp;""</f>
        <v>yes</v>
      </c>
      <c r="G168" s="10" t="str">
        <f>VLOOKUP($A168,'Institution Evaluation'!$A$56:$K$346,7,0)&amp;""</f>
        <v>Yes</v>
      </c>
      <c r="H168" s="10" t="str">
        <f>VLOOKUP($A168,'Institution Evaluation'!$A$56:$K$346,8,0)&amp;""</f>
        <v/>
      </c>
      <c r="I168" s="10" t="str">
        <f>VLOOKUP($A168,'Institution Evaluation'!$A$56:$K$346,9,0)&amp;""</f>
        <v>Standard Importance</v>
      </c>
      <c r="J168" s="10" t="str">
        <f>VLOOKUP($A168,'Institution Evaluation'!$A$56:$K$346,10,0)&amp;""</f>
        <v/>
      </c>
      <c r="K168" s="10">
        <f t="shared" si="31"/>
        <v>10</v>
      </c>
      <c r="L168" s="114">
        <f>IF($E168="Not Scored", "N/A",IF(AND($D168='Auto Responses'!$J$27,$H168=""),"N/A",IF(AND($D168='Auto Responses'!$J$27,$H168='Auto Responses'!$J$7),1,IF(AND($D168='Auto Responses'!$J$27,$H168='Auto Responses'!$J$8),0,IF(OR($F168=$G168,$H168='Auto Responses'!$J$7),1,0)))))</f>
        <v>1</v>
      </c>
      <c r="M168" s="10" t="str">
        <f>VLOOKUP($A168,'Institution Evaluation'!$A$56:$K$346,10,0)&amp;""</f>
        <v/>
      </c>
      <c r="N168" s="10">
        <f t="shared" si="32"/>
        <v>0</v>
      </c>
      <c r="O168" s="114">
        <f t="shared" si="33"/>
        <v>10</v>
      </c>
      <c r="P168" s="114">
        <f t="shared" si="34"/>
        <v>10</v>
      </c>
      <c r="Q168" s="114">
        <f t="shared" si="26"/>
        <v>0</v>
      </c>
      <c r="R168" s="114">
        <f t="shared" si="35"/>
        <v>0</v>
      </c>
      <c r="S168" s="114">
        <f t="shared" si="27"/>
        <v>0</v>
      </c>
      <c r="T168" s="114">
        <f t="shared" si="28"/>
        <v>0</v>
      </c>
      <c r="U168" s="114">
        <f t="shared" si="36"/>
        <v>54</v>
      </c>
      <c r="V168" s="114">
        <f t="shared" si="29"/>
        <v>0</v>
      </c>
    </row>
    <row r="169" spans="1:22" ht="60">
      <c r="A169" s="10" t="str">
        <f>Questions!$A169</f>
        <v>PPPR-08</v>
      </c>
      <c r="B169" s="10" t="str">
        <f t="shared" si="30"/>
        <v>PPPR</v>
      </c>
      <c r="C169" s="10" t="str">
        <f>VLOOKUP($A169,Questions!$A$3:$L$333,2,0)&amp;""</f>
        <v>Do you have a documented information security policy?</v>
      </c>
      <c r="D169" s="10" t="str">
        <f>VLOOKUP($A169,Questions!$A$3:$L$333,11,0)&amp;""</f>
        <v/>
      </c>
      <c r="E169" s="10" t="str">
        <f>VLOOKUP($A169,Questions!$A$3:$L$333,12,0)&amp;""</f>
        <v>Organization</v>
      </c>
      <c r="F169" s="10" t="str">
        <f>VLOOKUP($A169,'Institution Evaluation'!$A$56:$K$346,3,0)&amp;""</f>
        <v>yes</v>
      </c>
      <c r="G169" s="10" t="str">
        <f>VLOOKUP($A169,'Institution Evaluation'!$A$56:$K$346,7,0)&amp;""</f>
        <v>Yes</v>
      </c>
      <c r="H169" s="10" t="str">
        <f>VLOOKUP($A169,'Institution Evaluation'!$A$56:$K$346,8,0)&amp;""</f>
        <v/>
      </c>
      <c r="I169" s="10" t="str">
        <f>VLOOKUP($A169,'Institution Evaluation'!$A$56:$K$346,9,0)&amp;""</f>
        <v>Standard Importance</v>
      </c>
      <c r="J169" s="10" t="str">
        <f>VLOOKUP($A169,'Institution Evaluation'!$A$56:$K$346,10,0)&amp;""</f>
        <v/>
      </c>
      <c r="K169" s="10">
        <f t="shared" si="31"/>
        <v>10</v>
      </c>
      <c r="L169" s="114">
        <f>IF($E169="Not Scored", "N/A",IF(AND($D169='Auto Responses'!$J$27,$H169=""),"N/A",IF(AND($D169='Auto Responses'!$J$27,$H169='Auto Responses'!$J$7),1,IF(AND($D169='Auto Responses'!$J$27,$H169='Auto Responses'!$J$8),0,IF(OR($F169=$G169,$H169='Auto Responses'!$J$7),1,0)))))</f>
        <v>1</v>
      </c>
      <c r="M169" s="10" t="str">
        <f>VLOOKUP($A169,'Institution Evaluation'!$A$56:$K$346,10,0)&amp;""</f>
        <v/>
      </c>
      <c r="N169" s="10">
        <f t="shared" si="32"/>
        <v>0</v>
      </c>
      <c r="O169" s="114">
        <f t="shared" si="33"/>
        <v>10</v>
      </c>
      <c r="P169" s="114">
        <f t="shared" si="34"/>
        <v>10</v>
      </c>
      <c r="Q169" s="114">
        <f t="shared" si="26"/>
        <v>0</v>
      </c>
      <c r="R169" s="114">
        <f t="shared" si="35"/>
        <v>0</v>
      </c>
      <c r="S169" s="114">
        <f t="shared" si="27"/>
        <v>0</v>
      </c>
      <c r="T169" s="114">
        <f t="shared" si="28"/>
        <v>0</v>
      </c>
      <c r="U169" s="114">
        <f t="shared" si="36"/>
        <v>54</v>
      </c>
      <c r="V169" s="114">
        <f t="shared" si="29"/>
        <v>0</v>
      </c>
    </row>
    <row r="170" spans="1:22" ht="60">
      <c r="A170" s="10" t="str">
        <f>Questions!$A170</f>
        <v>PPPR-09</v>
      </c>
      <c r="B170" s="10" t="str">
        <f t="shared" si="30"/>
        <v>PPPR</v>
      </c>
      <c r="C170" s="10" t="str">
        <f>VLOOKUP($A170,Questions!$A$3:$L$333,2,0)&amp;""</f>
        <v>Are information security principles designed into the product lifecycle?</v>
      </c>
      <c r="D170" s="10" t="str">
        <f>VLOOKUP($A170,Questions!$A$3:$L$333,11,0)&amp;""</f>
        <v/>
      </c>
      <c r="E170" s="10" t="str">
        <f>VLOOKUP($A170,Questions!$A$3:$L$333,12,0)&amp;""</f>
        <v>Organization</v>
      </c>
      <c r="F170" s="10" t="str">
        <f>VLOOKUP($A170,'Institution Evaluation'!$A$56:$K$346,3,0)&amp;""</f>
        <v>yes</v>
      </c>
      <c r="G170" s="10" t="str">
        <f>VLOOKUP($A170,'Institution Evaluation'!$A$56:$K$346,7,0)&amp;""</f>
        <v>Yes</v>
      </c>
      <c r="H170" s="10" t="str">
        <f>VLOOKUP($A170,'Institution Evaluation'!$A$56:$K$346,8,0)&amp;""</f>
        <v/>
      </c>
      <c r="I170" s="10" t="str">
        <f>VLOOKUP($A170,'Institution Evaluation'!$A$56:$K$346,9,0)&amp;""</f>
        <v>Minor Importance</v>
      </c>
      <c r="J170" s="10" t="str">
        <f>VLOOKUP($A170,'Institution Evaluation'!$A$56:$K$346,10,0)&amp;""</f>
        <v/>
      </c>
      <c r="K170" s="10">
        <f t="shared" si="31"/>
        <v>5</v>
      </c>
      <c r="L170" s="114">
        <f>IF($E170="Not Scored", "N/A",IF(AND($D170='Auto Responses'!$J$27,$H170=""),"N/A",IF(AND($D170='Auto Responses'!$J$27,$H170='Auto Responses'!$J$7),1,IF(AND($D170='Auto Responses'!$J$27,$H170='Auto Responses'!$J$8),0,IF(OR($F170=$G170,$H170='Auto Responses'!$J$7),1,0)))))</f>
        <v>1</v>
      </c>
      <c r="M170" s="10" t="str">
        <f>VLOOKUP($A170,'Institution Evaluation'!$A$56:$K$346,10,0)&amp;""</f>
        <v/>
      </c>
      <c r="N170" s="10">
        <f t="shared" si="32"/>
        <v>0</v>
      </c>
      <c r="O170" s="114">
        <f t="shared" si="33"/>
        <v>5</v>
      </c>
      <c r="P170" s="114">
        <f t="shared" si="34"/>
        <v>5</v>
      </c>
      <c r="Q170" s="114">
        <f t="shared" si="26"/>
        <v>0</v>
      </c>
      <c r="R170" s="114">
        <f t="shared" si="35"/>
        <v>0</v>
      </c>
      <c r="S170" s="114">
        <f t="shared" si="27"/>
        <v>0</v>
      </c>
      <c r="T170" s="114">
        <f t="shared" si="28"/>
        <v>0</v>
      </c>
      <c r="U170" s="114">
        <f t="shared" si="36"/>
        <v>54</v>
      </c>
      <c r="V170" s="114">
        <f t="shared" si="29"/>
        <v>0</v>
      </c>
    </row>
    <row r="171" spans="1:22" ht="60">
      <c r="A171" s="10" t="str">
        <f>Questions!$A171</f>
        <v>PPPR-10</v>
      </c>
      <c r="B171" s="10" t="str">
        <f t="shared" si="30"/>
        <v>PPPR</v>
      </c>
      <c r="C171" s="10" t="str">
        <f>VLOOKUP($A171,Questions!$A$3:$L$333,2,0)&amp;""</f>
        <v>Will you comply with applicable breach notification laws?</v>
      </c>
      <c r="D171" s="10" t="str">
        <f>VLOOKUP($A171,Questions!$A$3:$L$333,11,0)&amp;""</f>
        <v/>
      </c>
      <c r="E171" s="10" t="str">
        <f>VLOOKUP($A171,Questions!$A$3:$L$333,12,0)&amp;""</f>
        <v>Organization</v>
      </c>
      <c r="F171" s="10" t="str">
        <f>VLOOKUP($A171,'Institution Evaluation'!$A$56:$K$346,3,0)&amp;""</f>
        <v>yes</v>
      </c>
      <c r="G171" s="10" t="str">
        <f>VLOOKUP($A171,'Institution Evaluation'!$A$56:$K$346,7,0)&amp;""</f>
        <v>Yes</v>
      </c>
      <c r="H171" s="10" t="str">
        <f>VLOOKUP($A171,'Institution Evaluation'!$A$56:$K$346,8,0)&amp;""</f>
        <v/>
      </c>
      <c r="I171" s="10" t="str">
        <f>VLOOKUP($A171,'Institution Evaluation'!$A$56:$K$346,9,0)&amp;""</f>
        <v>Minor Importance</v>
      </c>
      <c r="J171" s="10" t="str">
        <f>VLOOKUP($A171,'Institution Evaluation'!$A$56:$K$346,10,0)&amp;""</f>
        <v/>
      </c>
      <c r="K171" s="10">
        <f t="shared" si="31"/>
        <v>5</v>
      </c>
      <c r="L171" s="114">
        <f>IF($E171="Not Scored", "N/A",IF(AND($D171='Auto Responses'!$J$27,$H171=""),"N/A",IF(AND($D171='Auto Responses'!$J$27,$H171='Auto Responses'!$J$7),1,IF(AND($D171='Auto Responses'!$J$27,$H171='Auto Responses'!$J$8),0,IF(OR($F171=$G171,$H171='Auto Responses'!$J$7),1,0)))))</f>
        <v>1</v>
      </c>
      <c r="M171" s="10" t="str">
        <f>VLOOKUP($A171,'Institution Evaluation'!$A$56:$K$346,10,0)&amp;""</f>
        <v/>
      </c>
      <c r="N171" s="10">
        <f t="shared" si="32"/>
        <v>0</v>
      </c>
      <c r="O171" s="114">
        <f t="shared" si="33"/>
        <v>5</v>
      </c>
      <c r="P171" s="114">
        <f t="shared" si="34"/>
        <v>5</v>
      </c>
      <c r="Q171" s="114">
        <f t="shared" si="26"/>
        <v>0</v>
      </c>
      <c r="R171" s="114">
        <f t="shared" si="35"/>
        <v>0</v>
      </c>
      <c r="S171" s="114">
        <f t="shared" si="27"/>
        <v>0</v>
      </c>
      <c r="T171" s="114">
        <f t="shared" si="28"/>
        <v>0</v>
      </c>
      <c r="U171" s="114">
        <f t="shared" si="36"/>
        <v>54</v>
      </c>
      <c r="V171" s="114">
        <f t="shared" si="29"/>
        <v>0</v>
      </c>
    </row>
    <row r="172" spans="1:22" ht="60">
      <c r="A172" s="10" t="str">
        <f>Questions!$A172</f>
        <v>PPPR-11</v>
      </c>
      <c r="B172" s="10" t="str">
        <f t="shared" si="30"/>
        <v>PPPR</v>
      </c>
      <c r="C172" s="10" t="str">
        <f>VLOOKUP($A172,Questions!$A$3:$L$333,2,0)&amp;""</f>
        <v>Do you have an information security awareness program?</v>
      </c>
      <c r="D172" s="10" t="str">
        <f>VLOOKUP($A172,Questions!$A$3:$L$333,11,0)&amp;""</f>
        <v/>
      </c>
      <c r="E172" s="10" t="str">
        <f>VLOOKUP($A172,Questions!$A$3:$L$333,12,0)&amp;""</f>
        <v>Organization</v>
      </c>
      <c r="F172" s="10" t="str">
        <f>VLOOKUP($A172,'Institution Evaluation'!$A$56:$K$346,3,0)&amp;""</f>
        <v>yes</v>
      </c>
      <c r="G172" s="10" t="str">
        <f>VLOOKUP($A172,'Institution Evaluation'!$A$56:$K$346,7,0)&amp;""</f>
        <v>Yes</v>
      </c>
      <c r="H172" s="10" t="str">
        <f>VLOOKUP($A172,'Institution Evaluation'!$A$56:$K$346,8,0)&amp;""</f>
        <v/>
      </c>
      <c r="I172" s="10" t="str">
        <f>VLOOKUP($A172,'Institution Evaluation'!$A$56:$K$346,9,0)&amp;""</f>
        <v>Minor Importance</v>
      </c>
      <c r="J172" s="10" t="str">
        <f>VLOOKUP($A172,'Institution Evaluation'!$A$56:$K$346,10,0)&amp;""</f>
        <v/>
      </c>
      <c r="K172" s="10">
        <f t="shared" si="31"/>
        <v>5</v>
      </c>
      <c r="L172" s="114">
        <f>IF($E172="Not Scored", "N/A",IF(AND($D172='Auto Responses'!$J$27,$H172=""),"N/A",IF(AND($D172='Auto Responses'!$J$27,$H172='Auto Responses'!$J$7),1,IF(AND($D172='Auto Responses'!$J$27,$H172='Auto Responses'!$J$8),0,IF(OR($F172=$G172,$H172='Auto Responses'!$J$7),1,0)))))</f>
        <v>1</v>
      </c>
      <c r="M172" s="10" t="str">
        <f>VLOOKUP($A172,'Institution Evaluation'!$A$56:$K$346,10,0)&amp;""</f>
        <v/>
      </c>
      <c r="N172" s="10">
        <f t="shared" si="32"/>
        <v>0</v>
      </c>
      <c r="O172" s="114">
        <f t="shared" si="33"/>
        <v>5</v>
      </c>
      <c r="P172" s="114">
        <f t="shared" si="34"/>
        <v>5</v>
      </c>
      <c r="Q172" s="114">
        <f t="shared" si="26"/>
        <v>0</v>
      </c>
      <c r="R172" s="114">
        <f t="shared" si="35"/>
        <v>0</v>
      </c>
      <c r="S172" s="114">
        <f t="shared" si="27"/>
        <v>0</v>
      </c>
      <c r="T172" s="114">
        <f t="shared" si="28"/>
        <v>0</v>
      </c>
      <c r="U172" s="114">
        <f t="shared" si="36"/>
        <v>54</v>
      </c>
      <c r="V172" s="114">
        <f t="shared" si="29"/>
        <v>0</v>
      </c>
    </row>
    <row r="173" spans="1:22" ht="60">
      <c r="A173" s="10" t="str">
        <f>Questions!$A173</f>
        <v>PPPR-12</v>
      </c>
      <c r="B173" s="10" t="str">
        <f t="shared" si="30"/>
        <v>PPPR</v>
      </c>
      <c r="C173" s="10" t="str">
        <f>VLOOKUP($A173,Questions!$A$3:$L$333,2,0)&amp;""</f>
        <v>Is security awareness training mandatory for all employees?</v>
      </c>
      <c r="D173" s="10" t="str">
        <f>VLOOKUP($A173,Questions!$A$3:$L$333,11,0)&amp;""</f>
        <v/>
      </c>
      <c r="E173" s="10" t="str">
        <f>VLOOKUP($A173,Questions!$A$3:$L$333,12,0)&amp;""</f>
        <v>Organization</v>
      </c>
      <c r="F173" s="10" t="str">
        <f>VLOOKUP($A173,'Institution Evaluation'!$A$56:$K$346,3,0)&amp;""</f>
        <v>yes</v>
      </c>
      <c r="G173" s="10" t="str">
        <f>VLOOKUP($A173,'Institution Evaluation'!$A$56:$K$346,7,0)&amp;""</f>
        <v>Yes</v>
      </c>
      <c r="H173" s="10" t="str">
        <f>VLOOKUP($A173,'Institution Evaluation'!$A$56:$K$346,8,0)&amp;""</f>
        <v/>
      </c>
      <c r="I173" s="10" t="str">
        <f>VLOOKUP($A173,'Institution Evaluation'!$A$56:$K$346,9,0)&amp;""</f>
        <v>Minor Importance</v>
      </c>
      <c r="J173" s="10" t="str">
        <f>VLOOKUP($A173,'Institution Evaluation'!$A$56:$K$346,10,0)&amp;""</f>
        <v/>
      </c>
      <c r="K173" s="10">
        <f t="shared" si="31"/>
        <v>5</v>
      </c>
      <c r="L173" s="114">
        <f>IF($E173="Not Scored", "N/A",IF(AND($D173='Auto Responses'!$J$27,$H173=""),"N/A",IF(AND($D173='Auto Responses'!$J$27,$H173='Auto Responses'!$J$7),1,IF(AND($D173='Auto Responses'!$J$27,$H173='Auto Responses'!$J$8),0,IF(OR($F173=$G173,$H173='Auto Responses'!$J$7),1,0)))))</f>
        <v>1</v>
      </c>
      <c r="M173" s="10" t="str">
        <f>VLOOKUP($A173,'Institution Evaluation'!$A$56:$K$346,10,0)&amp;""</f>
        <v/>
      </c>
      <c r="N173" s="10">
        <f t="shared" si="32"/>
        <v>0</v>
      </c>
      <c r="O173" s="114">
        <f t="shared" si="33"/>
        <v>5</v>
      </c>
      <c r="P173" s="114">
        <f t="shared" si="34"/>
        <v>5</v>
      </c>
      <c r="Q173" s="114">
        <f t="shared" si="26"/>
        <v>0</v>
      </c>
      <c r="R173" s="114">
        <f t="shared" si="35"/>
        <v>0</v>
      </c>
      <c r="S173" s="114">
        <f t="shared" si="27"/>
        <v>0</v>
      </c>
      <c r="T173" s="114">
        <f t="shared" si="28"/>
        <v>0</v>
      </c>
      <c r="U173" s="114">
        <f t="shared" si="36"/>
        <v>54</v>
      </c>
      <c r="V173" s="114">
        <f t="shared" si="29"/>
        <v>0</v>
      </c>
    </row>
    <row r="174" spans="1:22" ht="60">
      <c r="A174" s="10" t="str">
        <f>Questions!$A174</f>
        <v>PPPR-13</v>
      </c>
      <c r="B174" s="10" t="str">
        <f t="shared" si="30"/>
        <v>PPPR</v>
      </c>
      <c r="C174" s="10" t="str">
        <f>VLOOKUP($A174,Questions!$A$3:$L$333,2,0)&amp;""</f>
        <v>Do you have process and procedure(s) documented, and currently followed, that require a review and update of the access list(s) for privileged accounts?</v>
      </c>
      <c r="D174" s="10" t="str">
        <f>VLOOKUP($A174,Questions!$A$3:$L$333,11,0)&amp;""</f>
        <v/>
      </c>
      <c r="E174" s="10" t="str">
        <f>VLOOKUP($A174,Questions!$A$3:$L$333,12,0)&amp;""</f>
        <v>Organization</v>
      </c>
      <c r="F174" s="10" t="str">
        <f>VLOOKUP($A174,'Institution Evaluation'!$A$56:$K$346,3,0)&amp;""</f>
        <v>yes</v>
      </c>
      <c r="G174" s="10" t="str">
        <f>VLOOKUP($A174,'Institution Evaluation'!$A$56:$K$346,7,0)&amp;""</f>
        <v>Yes</v>
      </c>
      <c r="H174" s="10" t="str">
        <f>VLOOKUP($A174,'Institution Evaluation'!$A$56:$K$346,8,0)&amp;""</f>
        <v/>
      </c>
      <c r="I174" s="10" t="str">
        <f>VLOOKUP($A174,'Institution Evaluation'!$A$56:$K$346,9,0)&amp;""</f>
        <v>Minor Importance</v>
      </c>
      <c r="J174" s="10" t="str">
        <f>VLOOKUP($A174,'Institution Evaluation'!$A$56:$K$346,10,0)&amp;""</f>
        <v/>
      </c>
      <c r="K174" s="10">
        <f t="shared" si="31"/>
        <v>5</v>
      </c>
      <c r="L174" s="114">
        <f>IF($E174="Not Scored", "N/A",IF(AND($D174='Auto Responses'!$J$27,$H174=""),"N/A",IF(AND($D174='Auto Responses'!$J$27,$H174='Auto Responses'!$J$7),1,IF(AND($D174='Auto Responses'!$J$27,$H174='Auto Responses'!$J$8),0,IF(OR($F174=$G174,$H174='Auto Responses'!$J$7),1,0)))))</f>
        <v>1</v>
      </c>
      <c r="M174" s="10" t="str">
        <f>VLOOKUP($A174,'Institution Evaluation'!$A$56:$K$346,10,0)&amp;""</f>
        <v/>
      </c>
      <c r="N174" s="10">
        <f t="shared" si="32"/>
        <v>0</v>
      </c>
      <c r="O174" s="114">
        <f t="shared" si="33"/>
        <v>5</v>
      </c>
      <c r="P174" s="114">
        <f t="shared" si="34"/>
        <v>5</v>
      </c>
      <c r="Q174" s="114">
        <f t="shared" si="26"/>
        <v>0</v>
      </c>
      <c r="R174" s="114">
        <f t="shared" si="35"/>
        <v>0</v>
      </c>
      <c r="S174" s="114">
        <f t="shared" si="27"/>
        <v>0</v>
      </c>
      <c r="T174" s="114">
        <f t="shared" si="28"/>
        <v>0</v>
      </c>
      <c r="U174" s="114">
        <f t="shared" si="36"/>
        <v>54</v>
      </c>
      <c r="V174" s="114">
        <f t="shared" si="29"/>
        <v>0</v>
      </c>
    </row>
    <row r="175" spans="1:22" ht="60">
      <c r="A175" s="10" t="str">
        <f>Questions!$A175</f>
        <v>PPPR-14</v>
      </c>
      <c r="B175" s="10" t="str">
        <f t="shared" si="30"/>
        <v>PPPR</v>
      </c>
      <c r="C175" s="10" t="str">
        <f>VLOOKUP($A175,Questions!$A$3:$L$333,2,0)&amp;""</f>
        <v>Do you have documented, and currently implemented, internal audit processes and procedures?</v>
      </c>
      <c r="D175" s="10" t="str">
        <f>VLOOKUP($A175,Questions!$A$3:$L$333,11,0)&amp;""</f>
        <v/>
      </c>
      <c r="E175" s="10" t="str">
        <f>VLOOKUP($A175,Questions!$A$3:$L$333,12,0)&amp;""</f>
        <v>Organization</v>
      </c>
      <c r="F175" s="10" t="str">
        <f>VLOOKUP($A175,'Institution Evaluation'!$A$56:$K$346,3,0)&amp;""</f>
        <v>yes</v>
      </c>
      <c r="G175" s="10" t="str">
        <f>VLOOKUP($A175,'Institution Evaluation'!$A$56:$K$346,7,0)&amp;""</f>
        <v>Yes</v>
      </c>
      <c r="H175" s="10" t="str">
        <f>VLOOKUP($A175,'Institution Evaluation'!$A$56:$K$346,8,0)&amp;""</f>
        <v/>
      </c>
      <c r="I175" s="10" t="str">
        <f>VLOOKUP($A175,'Institution Evaluation'!$A$56:$K$346,9,0)&amp;""</f>
        <v>Minor Importance</v>
      </c>
      <c r="J175" s="10" t="str">
        <f>VLOOKUP($A175,'Institution Evaluation'!$A$56:$K$346,10,0)&amp;""</f>
        <v/>
      </c>
      <c r="K175" s="10">
        <f t="shared" si="31"/>
        <v>5</v>
      </c>
      <c r="L175" s="114">
        <f>IF($E175="Not Scored", "N/A",IF(AND($D175='Auto Responses'!$J$27,$H175=""),"N/A",IF(AND($D175='Auto Responses'!$J$27,$H175='Auto Responses'!$J$7),1,IF(AND($D175='Auto Responses'!$J$27,$H175='Auto Responses'!$J$8),0,IF(OR($F175=$G175,$H175='Auto Responses'!$J$7),1,0)))))</f>
        <v>1</v>
      </c>
      <c r="M175" s="10" t="str">
        <f>VLOOKUP($A175,'Institution Evaluation'!$A$56:$K$346,10,0)&amp;""</f>
        <v/>
      </c>
      <c r="N175" s="10">
        <f t="shared" si="32"/>
        <v>0</v>
      </c>
      <c r="O175" s="114">
        <f t="shared" si="33"/>
        <v>5</v>
      </c>
      <c r="P175" s="114">
        <f t="shared" si="34"/>
        <v>5</v>
      </c>
      <c r="Q175" s="114">
        <f t="shared" si="26"/>
        <v>0</v>
      </c>
      <c r="R175" s="114">
        <f t="shared" si="35"/>
        <v>0</v>
      </c>
      <c r="S175" s="114">
        <f t="shared" si="27"/>
        <v>0</v>
      </c>
      <c r="T175" s="114">
        <f t="shared" si="28"/>
        <v>0</v>
      </c>
      <c r="U175" s="114">
        <f t="shared" si="36"/>
        <v>54</v>
      </c>
      <c r="V175" s="114">
        <f t="shared" si="29"/>
        <v>0</v>
      </c>
    </row>
    <row r="176" spans="1:22" ht="60">
      <c r="A176" s="10" t="str">
        <f>Questions!$A176</f>
        <v>PPPR-15</v>
      </c>
      <c r="B176" s="10" t="str">
        <f t="shared" si="30"/>
        <v>PPPR</v>
      </c>
      <c r="C176" s="10" t="str">
        <f>VLOOKUP($A176,Questions!$A$3:$L$333,2,0)&amp;""</f>
        <v>Does your organization have physical security controls and policies in place?</v>
      </c>
      <c r="D176" s="10" t="str">
        <f>VLOOKUP($A176,Questions!$A$3:$L$333,11,0)&amp;""</f>
        <v/>
      </c>
      <c r="E176" s="10" t="str">
        <f>VLOOKUP($A176,Questions!$A$3:$L$333,12,0)&amp;""</f>
        <v>Organization</v>
      </c>
      <c r="F176" s="10" t="str">
        <f>VLOOKUP($A176,'Institution Evaluation'!$A$56:$K$346,3,0)&amp;""</f>
        <v>yes</v>
      </c>
      <c r="G176" s="10" t="str">
        <f>VLOOKUP($A176,'Institution Evaluation'!$A$56:$K$346,7,0)&amp;""</f>
        <v>Yes</v>
      </c>
      <c r="H176" s="10" t="str">
        <f>VLOOKUP($A176,'Institution Evaluation'!$A$56:$K$346,8,0)&amp;""</f>
        <v/>
      </c>
      <c r="I176" s="10" t="str">
        <f>VLOOKUP($A176,'Institution Evaluation'!$A$56:$K$346,9,0)&amp;""</f>
        <v>Minor Importance</v>
      </c>
      <c r="J176" s="10" t="str">
        <f>VLOOKUP($A176,'Institution Evaluation'!$A$56:$K$346,10,0)&amp;""</f>
        <v/>
      </c>
      <c r="K176" s="10">
        <f t="shared" si="31"/>
        <v>5</v>
      </c>
      <c r="L176" s="114">
        <f>IF($E176="Not Scored", "N/A",IF(AND($D176='Auto Responses'!$J$27,$H176=""),"N/A",IF(AND($D176='Auto Responses'!$J$27,$H176='Auto Responses'!$J$7),1,IF(AND($D176='Auto Responses'!$J$27,$H176='Auto Responses'!$J$8),0,IF(OR($F176=$G176,$H176='Auto Responses'!$J$7),1,0)))))</f>
        <v>1</v>
      </c>
      <c r="M176" s="10" t="str">
        <f>VLOOKUP($A176,'Institution Evaluation'!$A$56:$K$346,10,0)&amp;""</f>
        <v/>
      </c>
      <c r="N176" s="10">
        <f t="shared" si="32"/>
        <v>0</v>
      </c>
      <c r="O176" s="114">
        <f>IF(OR($E176="Not Scored",$F176="N/A"),"N/A",IF($J176="",$K176,IF($J176="Minor Importance",5,IF($J176="Standard Importance",10,IF($J176="Critical Importance",20,0)))))</f>
        <v>5</v>
      </c>
      <c r="P176" s="114">
        <f t="shared" si="34"/>
        <v>5</v>
      </c>
      <c r="Q176" s="114">
        <f t="shared" si="26"/>
        <v>0</v>
      </c>
      <c r="R176" s="114">
        <f t="shared" si="35"/>
        <v>0</v>
      </c>
      <c r="S176" s="114">
        <f t="shared" si="27"/>
        <v>0</v>
      </c>
      <c r="T176" s="114">
        <f t="shared" si="28"/>
        <v>0</v>
      </c>
      <c r="U176" s="114">
        <f t="shared" si="36"/>
        <v>54</v>
      </c>
      <c r="V176" s="114">
        <f t="shared" si="29"/>
        <v>0</v>
      </c>
    </row>
    <row r="177" spans="1:22" ht="60">
      <c r="A177" s="10" t="str">
        <f>Questions!$A177</f>
        <v>HFIH-01</v>
      </c>
      <c r="B177" s="10" t="str">
        <f t="shared" si="30"/>
        <v>HFIH</v>
      </c>
      <c r="C177" s="10" t="str">
        <f>VLOOKUP($A177,Questions!$A$3:$L$333,2,0)&amp;""</f>
        <v>Do you have a formal incident response plan?</v>
      </c>
      <c r="D177" s="10" t="str">
        <f>VLOOKUP($A177,Questions!$A$3:$L$333,11,0)&amp;""</f>
        <v/>
      </c>
      <c r="E177" s="10" t="str">
        <f>VLOOKUP($A177,Questions!$A$3:$L$333,12,0)&amp;""</f>
        <v>Infrastructure</v>
      </c>
      <c r="F177" s="10" t="str">
        <f>VLOOKUP($A177,'Institution Evaluation'!$A$56:$K$346,3,0)&amp;""</f>
        <v>yes</v>
      </c>
      <c r="G177" s="10" t="str">
        <f>VLOOKUP($A177,'Institution Evaluation'!$A$56:$K$346,7,0)&amp;""</f>
        <v>Yes</v>
      </c>
      <c r="H177" s="10" t="str">
        <f>VLOOKUP($A177,'Institution Evaluation'!$A$56:$K$346,8,0)&amp;""</f>
        <v/>
      </c>
      <c r="I177" s="10" t="str">
        <f>VLOOKUP($A177,'Institution Evaluation'!$A$56:$K$346,9,0)&amp;""</f>
        <v>Standard Importance</v>
      </c>
      <c r="J177" s="10" t="str">
        <f>VLOOKUP($A177,'Institution Evaluation'!$A$56:$K$346,10,0)&amp;""</f>
        <v/>
      </c>
      <c r="K177" s="10">
        <f t="shared" si="31"/>
        <v>10</v>
      </c>
      <c r="L177" s="114">
        <f>IF($E177="Not Scored", "N/A",IF(AND($D177='Auto Responses'!$J$27,$H177=""),"N/A",IF(AND($D177='Auto Responses'!$J$27,$H177='Auto Responses'!$J$7),1,IF(AND($D177='Auto Responses'!$J$27,$H177='Auto Responses'!$J$8),0,IF(OR($F177=$G177,$H177='Auto Responses'!$J$7),1,0)))))</f>
        <v>1</v>
      </c>
      <c r="M177" s="10" t="str">
        <f>VLOOKUP($A177,'Institution Evaluation'!$A$56:$K$346,10,0)&amp;""</f>
        <v/>
      </c>
      <c r="N177" s="10">
        <f t="shared" si="32"/>
        <v>0</v>
      </c>
      <c r="O177" s="114">
        <f>IF(OR($F$17="No",$E177="Not Scored"),"N/A",IF($J177="",$K177,IF($J177="Minor Importance",5,IF($J177="Standard Importance",10,IF($J177="Critical Importance",20,0)))))</f>
        <v>10</v>
      </c>
      <c r="P177" s="114">
        <f t="shared" si="34"/>
        <v>10</v>
      </c>
      <c r="Q177" s="114">
        <f t="shared" si="26"/>
        <v>0</v>
      </c>
      <c r="R177" s="114">
        <f t="shared" si="35"/>
        <v>0</v>
      </c>
      <c r="S177" s="114">
        <f t="shared" si="27"/>
        <v>0</v>
      </c>
      <c r="T177" s="114">
        <f t="shared" si="28"/>
        <v>0</v>
      </c>
      <c r="U177" s="114">
        <f t="shared" si="36"/>
        <v>54</v>
      </c>
      <c r="V177" s="114">
        <f t="shared" si="29"/>
        <v>0</v>
      </c>
    </row>
    <row r="178" spans="1:22" ht="60">
      <c r="A178" s="10" t="str">
        <f>Questions!$A178</f>
        <v>HFIH-02</v>
      </c>
      <c r="B178" s="10" t="str">
        <f t="shared" si="30"/>
        <v>HFIH</v>
      </c>
      <c r="C178" s="10" t="str">
        <f>VLOOKUP($A178,Questions!$A$3:$L$333,2,0)&amp;""</f>
        <v>Do you either have an internal incident response team or retain an external team?</v>
      </c>
      <c r="D178" s="10" t="str">
        <f>VLOOKUP($A178,Questions!$A$3:$L$333,11,0)&amp;""</f>
        <v/>
      </c>
      <c r="E178" s="10" t="str">
        <f>VLOOKUP($A178,Questions!$A$3:$L$333,12,0)&amp;""</f>
        <v>Infrastructure</v>
      </c>
      <c r="F178" s="10" t="str">
        <f>VLOOKUP($A178,'Institution Evaluation'!$A$56:$K$346,3,0)&amp;""</f>
        <v>yes</v>
      </c>
      <c r="G178" s="10" t="str">
        <f>VLOOKUP($A178,'Institution Evaluation'!$A$56:$K$346,7,0)&amp;""</f>
        <v>Yes</v>
      </c>
      <c r="H178" s="10" t="str">
        <f>VLOOKUP($A178,'Institution Evaluation'!$A$56:$K$346,8,0)&amp;""</f>
        <v/>
      </c>
      <c r="I178" s="10" t="str">
        <f>VLOOKUP($A178,'Institution Evaluation'!$A$56:$K$346,9,0)&amp;""</f>
        <v>Minor Importance</v>
      </c>
      <c r="J178" s="10" t="str">
        <f>VLOOKUP($A178,'Institution Evaluation'!$A$56:$K$346,10,0)&amp;""</f>
        <v/>
      </c>
      <c r="K178" s="10">
        <f t="shared" si="31"/>
        <v>5</v>
      </c>
      <c r="L178" s="114">
        <f>IF($E178="Not Scored", "N/A",IF(AND($D178='Auto Responses'!$J$27,$H178=""),"N/A",IF(AND($D178='Auto Responses'!$J$27,$H178='Auto Responses'!$J$7),1,IF(AND($D178='Auto Responses'!$J$27,$H178='Auto Responses'!$J$8),0,IF(OR($F178=$G178,$H178='Auto Responses'!$J$7),1,0)))))</f>
        <v>1</v>
      </c>
      <c r="M178" s="10" t="str">
        <f>VLOOKUP($A178,'Institution Evaluation'!$A$56:$K$346,10,0)&amp;""</f>
        <v/>
      </c>
      <c r="N178" s="10">
        <f t="shared" si="32"/>
        <v>0</v>
      </c>
      <c r="O178" s="114">
        <f t="shared" ref="O178:O180" si="39">IF(OR($F$17="No",$E178="Not Scored"),"N/A",IF($J178="",$K178,IF($J178="Minor Importance",5,IF($J178="Standard Importance",10,IF($J178="Critical Importance",20,0)))))</f>
        <v>5</v>
      </c>
      <c r="P178" s="114">
        <f t="shared" si="34"/>
        <v>5</v>
      </c>
      <c r="Q178" s="114">
        <f t="shared" si="26"/>
        <v>0</v>
      </c>
      <c r="R178" s="114">
        <f t="shared" si="35"/>
        <v>0</v>
      </c>
      <c r="S178" s="114">
        <f t="shared" si="27"/>
        <v>0</v>
      </c>
      <c r="T178" s="114">
        <f t="shared" si="28"/>
        <v>0</v>
      </c>
      <c r="U178" s="114">
        <f t="shared" si="36"/>
        <v>54</v>
      </c>
      <c r="V178" s="114">
        <f t="shared" si="29"/>
        <v>0</v>
      </c>
    </row>
    <row r="179" spans="1:22" ht="60">
      <c r="A179" s="10" t="str">
        <f>Questions!$A179</f>
        <v>HFIH-03</v>
      </c>
      <c r="B179" s="10" t="str">
        <f t="shared" si="30"/>
        <v>HFIH</v>
      </c>
      <c r="C179" s="10" t="str">
        <f>VLOOKUP($A179,Questions!$A$3:$L$333,2,0)&amp;""</f>
        <v>Do you have the capability to respond to incidents on a 24 x 7 x 365 basis?</v>
      </c>
      <c r="D179" s="10" t="str">
        <f>VLOOKUP($A179,Questions!$A$3:$L$333,11,0)&amp;""</f>
        <v/>
      </c>
      <c r="E179" s="10" t="str">
        <f>VLOOKUP($A179,Questions!$A$3:$L$333,12,0)&amp;""</f>
        <v>Infrastructure</v>
      </c>
      <c r="F179" s="10" t="str">
        <f>VLOOKUP($A179,'Institution Evaluation'!$A$56:$K$346,3,0)&amp;""</f>
        <v>No</v>
      </c>
      <c r="G179" s="10" t="str">
        <f>VLOOKUP($A179,'Institution Evaluation'!$A$56:$K$346,7,0)&amp;""</f>
        <v>Yes</v>
      </c>
      <c r="H179" s="10" t="str">
        <f>VLOOKUP($A179,'Institution Evaluation'!$A$56:$K$346,8,0)&amp;""</f>
        <v/>
      </c>
      <c r="I179" s="10" t="str">
        <f>VLOOKUP($A179,'Institution Evaluation'!$A$56:$K$346,9,0)&amp;""</f>
        <v>Minor Importance</v>
      </c>
      <c r="J179" s="10" t="str">
        <f>VLOOKUP($A179,'Institution Evaluation'!$A$56:$K$346,10,0)&amp;""</f>
        <v/>
      </c>
      <c r="K179" s="10">
        <f t="shared" si="31"/>
        <v>5</v>
      </c>
      <c r="L179" s="114">
        <f>IF($E179="Not Scored", "N/A",IF(AND($D179='Auto Responses'!$J$27,$H179=""),"N/A",IF(AND($D179='Auto Responses'!$J$27,$H179='Auto Responses'!$J$7),1,IF(AND($D179='Auto Responses'!$J$27,$H179='Auto Responses'!$J$8),0,IF(OR($F179=$G179,$H179='Auto Responses'!$J$7),1,0)))))</f>
        <v>0</v>
      </c>
      <c r="M179" s="10" t="str">
        <f>VLOOKUP($A179,'Institution Evaluation'!$A$56:$K$346,10,0)&amp;""</f>
        <v/>
      </c>
      <c r="N179" s="10">
        <f t="shared" si="32"/>
        <v>0</v>
      </c>
      <c r="O179" s="114">
        <f t="shared" si="39"/>
        <v>5</v>
      </c>
      <c r="P179" s="114">
        <f t="shared" si="34"/>
        <v>0</v>
      </c>
      <c r="Q179" s="114">
        <f t="shared" si="26"/>
        <v>0</v>
      </c>
      <c r="R179" s="114">
        <f t="shared" si="35"/>
        <v>0</v>
      </c>
      <c r="S179" s="114">
        <f t="shared" si="27"/>
        <v>0</v>
      </c>
      <c r="T179" s="114">
        <f t="shared" si="28"/>
        <v>0</v>
      </c>
      <c r="U179" s="114">
        <f t="shared" si="36"/>
        <v>54</v>
      </c>
      <c r="V179" s="114">
        <f t="shared" si="29"/>
        <v>0</v>
      </c>
    </row>
    <row r="180" spans="1:22" ht="60">
      <c r="A180" s="10" t="str">
        <f>Questions!$A180</f>
        <v>HFIH-04</v>
      </c>
      <c r="B180" s="10" t="str">
        <f t="shared" si="30"/>
        <v>HFIH</v>
      </c>
      <c r="C180" s="10" t="str">
        <f>VLOOKUP($A180,Questions!$A$3:$L$333,2,0)&amp;""</f>
        <v>Do you carry cyber-risk insurance to protect against unforeseen service outages, data that is lost or stolen, and security incidents?</v>
      </c>
      <c r="D180" s="10" t="str">
        <f>VLOOKUP($A180,Questions!$A$3:$L$333,11,0)&amp;""</f>
        <v/>
      </c>
      <c r="E180" s="10" t="str">
        <f>VLOOKUP($A180,Questions!$A$3:$L$333,12,0)&amp;""</f>
        <v>Infrastructure</v>
      </c>
      <c r="F180" s="10" t="str">
        <f>VLOOKUP($A180,'Institution Evaluation'!$A$56:$K$346,3,0)&amp;""</f>
        <v>yes</v>
      </c>
      <c r="G180" s="10" t="str">
        <f>VLOOKUP($A180,'Institution Evaluation'!$A$56:$K$346,7,0)&amp;""</f>
        <v>Yes</v>
      </c>
      <c r="H180" s="10" t="str">
        <f>VLOOKUP($A180,'Institution Evaluation'!$A$56:$K$346,8,0)&amp;""</f>
        <v/>
      </c>
      <c r="I180" s="10" t="str">
        <f>VLOOKUP($A180,'Institution Evaluation'!$A$56:$K$346,9,0)&amp;""</f>
        <v>Minor Importance</v>
      </c>
      <c r="J180" s="10" t="str">
        <f>VLOOKUP($A180,'Institution Evaluation'!$A$56:$K$346,10,0)&amp;""</f>
        <v/>
      </c>
      <c r="K180" s="10">
        <f t="shared" si="31"/>
        <v>5</v>
      </c>
      <c r="L180" s="114">
        <f>IF($E180="Not Scored", "N/A",IF(AND($D180='Auto Responses'!$J$27,$H180=""),"N/A",IF(AND($D180='Auto Responses'!$J$27,$H180='Auto Responses'!$J$7),1,IF(AND($D180='Auto Responses'!$J$27,$H180='Auto Responses'!$J$8),0,IF(OR($F180=$G180,$H180='Auto Responses'!$J$7),1,0)))))</f>
        <v>1</v>
      </c>
      <c r="M180" s="10" t="str">
        <f>VLOOKUP($A180,'Institution Evaluation'!$A$56:$K$346,10,0)&amp;""</f>
        <v/>
      </c>
      <c r="N180" s="10">
        <f t="shared" si="32"/>
        <v>0</v>
      </c>
      <c r="O180" s="114">
        <f t="shared" si="39"/>
        <v>5</v>
      </c>
      <c r="P180" s="114">
        <f t="shared" si="34"/>
        <v>5</v>
      </c>
      <c r="Q180" s="114">
        <f t="shared" si="26"/>
        <v>0</v>
      </c>
      <c r="R180" s="114">
        <f t="shared" si="35"/>
        <v>0</v>
      </c>
      <c r="S180" s="114">
        <f t="shared" si="27"/>
        <v>0</v>
      </c>
      <c r="T180" s="114">
        <f t="shared" si="28"/>
        <v>0</v>
      </c>
      <c r="U180" s="114">
        <f t="shared" si="36"/>
        <v>54</v>
      </c>
      <c r="V180" s="114">
        <f t="shared" si="29"/>
        <v>0</v>
      </c>
    </row>
    <row r="181" spans="1:22" ht="60">
      <c r="A181" s="10" t="str">
        <f>Questions!$A181</f>
        <v>VULN-01</v>
      </c>
      <c r="B181" s="10" t="str">
        <f t="shared" si="30"/>
        <v>VULN</v>
      </c>
      <c r="C181" s="10" t="str">
        <f>VLOOKUP($A181,Questions!$A$3:$L$333,2,0)&amp;""</f>
        <v>Are your systems and applications scanned with an authenticated user account for vulnerabilities (that are remediated) prior to new releases?*</v>
      </c>
      <c r="D181" s="10" t="str">
        <f>VLOOKUP($A181,Questions!$A$3:$L$333,11,0)&amp;""</f>
        <v/>
      </c>
      <c r="E181" s="10" t="str">
        <f>VLOOKUP($A181,Questions!$A$3:$L$333,12,0)&amp;""</f>
        <v>Infrastructure</v>
      </c>
      <c r="F181" s="10" t="str">
        <f>VLOOKUP($A181,'Institution Evaluation'!$A$56:$K$346,3,0)&amp;""</f>
        <v>yes</v>
      </c>
      <c r="G181" s="10" t="str">
        <f>VLOOKUP($A181,'Institution Evaluation'!$A$56:$K$346,7,0)&amp;""</f>
        <v>Yes</v>
      </c>
      <c r="H181" s="10" t="str">
        <f>VLOOKUP($A181,'Institution Evaluation'!$A$56:$K$346,8,0)&amp;""</f>
        <v/>
      </c>
      <c r="I181" s="10" t="str">
        <f>VLOOKUP($A181,'Institution Evaluation'!$A$56:$K$346,9,0)&amp;""</f>
        <v>Critical Importance</v>
      </c>
      <c r="J181" s="10" t="str">
        <f>VLOOKUP($A181,'Institution Evaluation'!$A$56:$K$346,10,0)&amp;""</f>
        <v/>
      </c>
      <c r="K181" s="10">
        <f t="shared" si="31"/>
        <v>20</v>
      </c>
      <c r="L181" s="114">
        <f>IF($E181="Not Scored", "N/A",IF(AND($D181='Auto Responses'!$J$27,$H181=""),"N/A",IF(AND($D181='Auto Responses'!$J$27,$H181='Auto Responses'!$J$7),1,IF(AND($D181='Auto Responses'!$J$27,$H181='Auto Responses'!$J$8),0,IF(OR($F181=$G181,$H181='Auto Responses'!$J$7),1,0)))))</f>
        <v>1</v>
      </c>
      <c r="M181" s="10" t="str">
        <f>VLOOKUP($A181,'Institution Evaluation'!$A$56:$K$346,10,0)&amp;""</f>
        <v/>
      </c>
      <c r="N181" s="10">
        <f t="shared" si="32"/>
        <v>1</v>
      </c>
      <c r="O181" s="114">
        <f>IF(OR($F$17="No",$E181="Not Scored"),"N/A",IF($J181="",$K181,IF($J181="Minor Importance",5,IF($J181="Standard Importance",10,IF($J181="Critical Importance",20,0)))))</f>
        <v>20</v>
      </c>
      <c r="P181" s="114">
        <f t="shared" si="34"/>
        <v>20</v>
      </c>
      <c r="Q181" s="114">
        <f t="shared" si="26"/>
        <v>0</v>
      </c>
      <c r="R181" s="114">
        <f t="shared" si="35"/>
        <v>0</v>
      </c>
      <c r="S181" s="114">
        <f t="shared" si="27"/>
        <v>0</v>
      </c>
      <c r="T181" s="114">
        <f t="shared" si="28"/>
        <v>1</v>
      </c>
      <c r="U181" s="114">
        <f t="shared" si="36"/>
        <v>55</v>
      </c>
      <c r="V181" s="114">
        <f t="shared" si="29"/>
        <v>55</v>
      </c>
    </row>
    <row r="182" spans="1:22" ht="60">
      <c r="A182" s="10" t="str">
        <f>Questions!$A182</f>
        <v>VULN-02</v>
      </c>
      <c r="B182" s="10" t="str">
        <f t="shared" si="30"/>
        <v>VULN</v>
      </c>
      <c r="C182" s="10" t="str">
        <f>VLOOKUP($A182,Questions!$A$3:$L$333,2,0)&amp;""</f>
        <v>Will you provide results of application and system vulnerability scans to the institution?*</v>
      </c>
      <c r="D182" s="10" t="str">
        <f>VLOOKUP($A182,Questions!$A$3:$L$333,11,0)&amp;""</f>
        <v/>
      </c>
      <c r="E182" s="10" t="str">
        <f>VLOOKUP($A182,Questions!$A$3:$L$333,12,0)&amp;""</f>
        <v>Infrastructure</v>
      </c>
      <c r="F182" s="10" t="str">
        <f>VLOOKUP($A182,'Institution Evaluation'!$A$56:$K$346,3,0)&amp;""</f>
        <v>yes</v>
      </c>
      <c r="G182" s="10" t="str">
        <f>VLOOKUP($A182,'Institution Evaluation'!$A$56:$K$346,7,0)&amp;""</f>
        <v>Yes</v>
      </c>
      <c r="H182" s="10" t="str">
        <f>VLOOKUP($A182,'Institution Evaluation'!$A$56:$K$346,8,0)&amp;""</f>
        <v/>
      </c>
      <c r="I182" s="10" t="str">
        <f>VLOOKUP($A182,'Institution Evaluation'!$A$56:$K$346,9,0)&amp;""</f>
        <v>Critical Importance</v>
      </c>
      <c r="J182" s="10" t="str">
        <f>VLOOKUP($A182,'Institution Evaluation'!$A$56:$K$346,10,0)&amp;""</f>
        <v/>
      </c>
      <c r="K182" s="10">
        <f t="shared" si="31"/>
        <v>20</v>
      </c>
      <c r="L182" s="114">
        <f>IF($E182="Not Scored", "N/A",IF(AND($D182='Auto Responses'!$J$27,$H182=""),"N/A",IF(AND($D182='Auto Responses'!$J$27,$H182='Auto Responses'!$J$7),1,IF(AND($D182='Auto Responses'!$J$27,$H182='Auto Responses'!$J$8),0,IF(OR($F182=$G182,$H182='Auto Responses'!$J$7),1,0)))))</f>
        <v>1</v>
      </c>
      <c r="M182" s="10" t="str">
        <f>VLOOKUP($A182,'Institution Evaluation'!$A$56:$K$346,10,0)&amp;""</f>
        <v/>
      </c>
      <c r="N182" s="10">
        <f t="shared" si="32"/>
        <v>1</v>
      </c>
      <c r="O182" s="114">
        <f t="shared" ref="O182:O186" si="40">IF(OR($F$17="No",$E182="Not Scored"),"N/A",IF($J182="",$K182,IF($J182="Minor Importance",5,IF($J182="Standard Importance",10,IF($J182="Critical Importance",20,0)))))</f>
        <v>20</v>
      </c>
      <c r="P182" s="114">
        <f t="shared" si="34"/>
        <v>20</v>
      </c>
      <c r="Q182" s="114">
        <f t="shared" si="26"/>
        <v>0</v>
      </c>
      <c r="R182" s="114">
        <f t="shared" si="35"/>
        <v>0</v>
      </c>
      <c r="S182" s="114">
        <f t="shared" si="27"/>
        <v>0</v>
      </c>
      <c r="T182" s="114">
        <f t="shared" si="28"/>
        <v>1</v>
      </c>
      <c r="U182" s="114">
        <f t="shared" si="36"/>
        <v>56</v>
      </c>
      <c r="V182" s="114">
        <f t="shared" si="29"/>
        <v>56</v>
      </c>
    </row>
    <row r="183" spans="1:22" ht="60">
      <c r="A183" s="10" t="str">
        <f>Questions!$A183</f>
        <v>VULN-03</v>
      </c>
      <c r="B183" s="10" t="str">
        <f t="shared" si="30"/>
        <v>VULN</v>
      </c>
      <c r="C183" s="10" t="str">
        <f>VLOOKUP($A183,Questions!$A$3:$L$333,2,0)&amp;""</f>
        <v>Will you allow the institution to perform its own vulnerability testing and/or scanning of your systems and/or application, provided that testing is performed at a mutually agreed upon time and date?*</v>
      </c>
      <c r="D183" s="10" t="str">
        <f>VLOOKUP($A183,Questions!$A$3:$L$333,11,0)&amp;""</f>
        <v/>
      </c>
      <c r="E183" s="10" t="str">
        <f>VLOOKUP($A183,Questions!$A$3:$L$333,12,0)&amp;""</f>
        <v>Infrastructure</v>
      </c>
      <c r="F183" s="10" t="str">
        <f>VLOOKUP($A183,'Institution Evaluation'!$A$56:$K$346,3,0)&amp;""</f>
        <v>yes</v>
      </c>
      <c r="G183" s="10" t="str">
        <f>VLOOKUP($A183,'Institution Evaluation'!$A$56:$K$346,7,0)&amp;""</f>
        <v>Yes</v>
      </c>
      <c r="H183" s="10" t="str">
        <f>VLOOKUP($A183,'Institution Evaluation'!$A$56:$K$346,8,0)&amp;""</f>
        <v/>
      </c>
      <c r="I183" s="10" t="str">
        <f>VLOOKUP($A183,'Institution Evaluation'!$A$56:$K$346,9,0)&amp;""</f>
        <v>Critical Importance</v>
      </c>
      <c r="J183" s="10" t="str">
        <f>VLOOKUP($A183,'Institution Evaluation'!$A$56:$K$346,10,0)&amp;""</f>
        <v/>
      </c>
      <c r="K183" s="10">
        <f t="shared" si="31"/>
        <v>20</v>
      </c>
      <c r="L183" s="114">
        <f>IF($E183="Not Scored", "N/A",IF(AND($D183='Auto Responses'!$J$27,$H183=""),"N/A",IF(AND($D183='Auto Responses'!$J$27,$H183='Auto Responses'!$J$7),1,IF(AND($D183='Auto Responses'!$J$27,$H183='Auto Responses'!$J$8),0,IF(OR($F183=$G183,$H183='Auto Responses'!$J$7),1,0)))))</f>
        <v>1</v>
      </c>
      <c r="M183" s="10" t="str">
        <f>VLOOKUP($A183,'Institution Evaluation'!$A$56:$K$346,10,0)&amp;""</f>
        <v/>
      </c>
      <c r="N183" s="10">
        <f t="shared" si="32"/>
        <v>1</v>
      </c>
      <c r="O183" s="114">
        <f t="shared" si="40"/>
        <v>20</v>
      </c>
      <c r="P183" s="114">
        <f t="shared" si="34"/>
        <v>20</v>
      </c>
      <c r="Q183" s="114">
        <f t="shared" si="26"/>
        <v>0</v>
      </c>
      <c r="R183" s="114">
        <f t="shared" si="35"/>
        <v>0</v>
      </c>
      <c r="S183" s="114">
        <f t="shared" si="27"/>
        <v>0</v>
      </c>
      <c r="T183" s="114">
        <f t="shared" si="28"/>
        <v>1</v>
      </c>
      <c r="U183" s="114">
        <f t="shared" si="36"/>
        <v>57</v>
      </c>
      <c r="V183" s="114">
        <f t="shared" si="29"/>
        <v>57</v>
      </c>
    </row>
    <row r="184" spans="1:22" ht="60">
      <c r="A184" s="10" t="str">
        <f>Questions!$A184</f>
        <v>VULN-04</v>
      </c>
      <c r="B184" s="10" t="str">
        <f t="shared" si="30"/>
        <v>VULN</v>
      </c>
      <c r="C184" s="10" t="str">
        <f>VLOOKUP($A184,Questions!$A$3:$L$333,2,0)&amp;""</f>
        <v>Have your systems and applications had a third-party security assessment completed in the last year?</v>
      </c>
      <c r="D184" s="10" t="str">
        <f>VLOOKUP($A184,Questions!$A$3:$L$333,11,0)&amp;""</f>
        <v/>
      </c>
      <c r="E184" s="10" t="str">
        <f>VLOOKUP($A184,Questions!$A$3:$L$333,12,0)&amp;""</f>
        <v>Infrastructure</v>
      </c>
      <c r="F184" s="10" t="str">
        <f>VLOOKUP($A184,'Institution Evaluation'!$A$56:$K$346,3,0)&amp;""</f>
        <v>yes</v>
      </c>
      <c r="G184" s="10" t="str">
        <f>VLOOKUP($A184,'Institution Evaluation'!$A$56:$K$346,7,0)&amp;""</f>
        <v>Yes</v>
      </c>
      <c r="H184" s="10" t="str">
        <f>VLOOKUP($A184,'Institution Evaluation'!$A$56:$K$346,8,0)&amp;""</f>
        <v/>
      </c>
      <c r="I184" s="10" t="str">
        <f>VLOOKUP($A184,'Institution Evaluation'!$A$56:$K$346,9,0)&amp;""</f>
        <v>Standard Importance</v>
      </c>
      <c r="J184" s="10" t="str">
        <f>VLOOKUP($A184,'Institution Evaluation'!$A$56:$K$346,10,0)&amp;""</f>
        <v/>
      </c>
      <c r="K184" s="10">
        <f t="shared" si="31"/>
        <v>10</v>
      </c>
      <c r="L184" s="114">
        <f>IF($E184="Not Scored", "N/A",IF(AND($D184='Auto Responses'!$J$27,$H184=""),"N/A",IF(AND($D184='Auto Responses'!$J$27,$H184='Auto Responses'!$J$7),1,IF(AND($D184='Auto Responses'!$J$27,$H184='Auto Responses'!$J$8),0,IF(OR($F184=$G184,$H184='Auto Responses'!$J$7),1,0)))))</f>
        <v>1</v>
      </c>
      <c r="M184" s="10" t="str">
        <f>VLOOKUP($A184,'Institution Evaluation'!$A$56:$K$346,10,0)&amp;""</f>
        <v/>
      </c>
      <c r="N184" s="10">
        <f t="shared" si="32"/>
        <v>0</v>
      </c>
      <c r="O184" s="114">
        <f t="shared" si="40"/>
        <v>10</v>
      </c>
      <c r="P184" s="114">
        <f t="shared" si="34"/>
        <v>10</v>
      </c>
      <c r="Q184" s="114">
        <f t="shared" si="26"/>
        <v>0</v>
      </c>
      <c r="R184" s="114">
        <f t="shared" si="35"/>
        <v>0</v>
      </c>
      <c r="S184" s="114">
        <f t="shared" si="27"/>
        <v>0</v>
      </c>
      <c r="T184" s="114">
        <f t="shared" si="28"/>
        <v>0</v>
      </c>
      <c r="U184" s="114">
        <f t="shared" si="36"/>
        <v>57</v>
      </c>
      <c r="V184" s="114">
        <f t="shared" si="29"/>
        <v>0</v>
      </c>
    </row>
    <row r="185" spans="1:22" ht="60">
      <c r="A185" s="10" t="str">
        <f>Questions!$A185</f>
        <v>VULN-05</v>
      </c>
      <c r="B185" s="10" t="str">
        <f t="shared" si="30"/>
        <v>VULN</v>
      </c>
      <c r="C185" s="10" t="str">
        <f>VLOOKUP($A185,Questions!$A$3:$L$333,2,0)&amp;""</f>
        <v>Do you regularly scan for common web application security vulnerabilities (e.g., SQL injection, XSS, XSRF, etc.)?</v>
      </c>
      <c r="D185" s="10" t="str">
        <f>VLOOKUP($A185,Questions!$A$3:$L$333,11,0)&amp;""</f>
        <v/>
      </c>
      <c r="E185" s="10" t="str">
        <f>VLOOKUP($A185,Questions!$A$3:$L$333,12,0)&amp;""</f>
        <v>Infrastructure</v>
      </c>
      <c r="F185" s="10" t="str">
        <f>VLOOKUP($A185,'Institution Evaluation'!$A$56:$K$346,3,0)&amp;""</f>
        <v>yes</v>
      </c>
      <c r="G185" s="10" t="str">
        <f>VLOOKUP($A185,'Institution Evaluation'!$A$56:$K$346,7,0)&amp;""</f>
        <v>Yes</v>
      </c>
      <c r="H185" s="10" t="str">
        <f>VLOOKUP($A185,'Institution Evaluation'!$A$56:$K$346,8,0)&amp;""</f>
        <v/>
      </c>
      <c r="I185" s="10" t="str">
        <f>VLOOKUP($A185,'Institution Evaluation'!$A$56:$K$346,9,0)&amp;""</f>
        <v>Standard Importance</v>
      </c>
      <c r="J185" s="10" t="str">
        <f>VLOOKUP($A185,'Institution Evaluation'!$A$56:$K$346,10,0)&amp;""</f>
        <v/>
      </c>
      <c r="K185" s="10">
        <f t="shared" si="31"/>
        <v>10</v>
      </c>
      <c r="L185" s="114">
        <f>IF($E185="Not Scored", "N/A",IF(AND($D185='Auto Responses'!$J$27,$H185=""),"N/A",IF(AND($D185='Auto Responses'!$J$27,$H185='Auto Responses'!$J$7),1,IF(AND($D185='Auto Responses'!$J$27,$H185='Auto Responses'!$J$8),0,IF(OR($F185=$G185,$H185='Auto Responses'!$J$7),1,0)))))</f>
        <v>1</v>
      </c>
      <c r="M185" s="10" t="str">
        <f>VLOOKUP($A185,'Institution Evaluation'!$A$56:$K$346,10,0)&amp;""</f>
        <v/>
      </c>
      <c r="N185" s="10">
        <f t="shared" si="32"/>
        <v>0</v>
      </c>
      <c r="O185" s="114">
        <f t="shared" si="40"/>
        <v>10</v>
      </c>
      <c r="P185" s="114">
        <f t="shared" si="34"/>
        <v>10</v>
      </c>
      <c r="Q185" s="114">
        <f t="shared" si="26"/>
        <v>0</v>
      </c>
      <c r="R185" s="114">
        <f t="shared" si="35"/>
        <v>0</v>
      </c>
      <c r="S185" s="114">
        <f t="shared" si="27"/>
        <v>0</v>
      </c>
      <c r="T185" s="114">
        <f t="shared" si="28"/>
        <v>0</v>
      </c>
      <c r="U185" s="114">
        <f t="shared" si="36"/>
        <v>57</v>
      </c>
      <c r="V185" s="114">
        <f t="shared" si="29"/>
        <v>0</v>
      </c>
    </row>
    <row r="186" spans="1:22" ht="60">
      <c r="A186" s="10" t="str">
        <f>Questions!$A186</f>
        <v>VULN-06</v>
      </c>
      <c r="B186" s="10" t="str">
        <f t="shared" si="30"/>
        <v>VULN</v>
      </c>
      <c r="C186" s="10" t="str">
        <f>VLOOKUP($A186,Questions!$A$3:$L$333,2,0)&amp;""</f>
        <v>Are your systems and applications regularly scanned externally for vulnerabilities?</v>
      </c>
      <c r="D186" s="10" t="str">
        <f>VLOOKUP($A186,Questions!$A$3:$L$333,11,0)&amp;""</f>
        <v/>
      </c>
      <c r="E186" s="10" t="str">
        <f>VLOOKUP($A186,Questions!$A$3:$L$333,12,0)&amp;""</f>
        <v>Infrastructure</v>
      </c>
      <c r="F186" s="10" t="str">
        <f>VLOOKUP($A186,'Institution Evaluation'!$A$56:$K$346,3,0)&amp;""</f>
        <v>yes</v>
      </c>
      <c r="G186" s="10" t="str">
        <f>VLOOKUP($A186,'Institution Evaluation'!$A$56:$K$346,7,0)&amp;""</f>
        <v>Yes</v>
      </c>
      <c r="H186" s="10" t="str">
        <f>VLOOKUP($A186,'Institution Evaluation'!$A$56:$K$346,8,0)&amp;""</f>
        <v/>
      </c>
      <c r="I186" s="10" t="str">
        <f>VLOOKUP($A186,'Institution Evaluation'!$A$56:$K$346,9,0)&amp;""</f>
        <v>Minor Importance</v>
      </c>
      <c r="J186" s="10" t="str">
        <f>VLOOKUP($A186,'Institution Evaluation'!$A$56:$K$346,10,0)&amp;""</f>
        <v/>
      </c>
      <c r="K186" s="10">
        <f t="shared" si="31"/>
        <v>5</v>
      </c>
      <c r="L186" s="114">
        <f>IF($E186="Not Scored", "N/A",IF(AND($D186='Auto Responses'!$J$27,$H186=""),"N/A",IF(AND($D186='Auto Responses'!$J$27,$H186='Auto Responses'!$J$7),1,IF(AND($D186='Auto Responses'!$J$27,$H186='Auto Responses'!$J$8),0,IF(OR($F186=$G186,$H186='Auto Responses'!$J$7),1,0)))))</f>
        <v>1</v>
      </c>
      <c r="M186" s="10" t="str">
        <f>VLOOKUP($A186,'Institution Evaluation'!$A$56:$K$346,10,0)&amp;""</f>
        <v/>
      </c>
      <c r="N186" s="10">
        <f t="shared" si="32"/>
        <v>0</v>
      </c>
      <c r="O186" s="114">
        <f t="shared" si="40"/>
        <v>5</v>
      </c>
      <c r="P186" s="114">
        <f t="shared" si="34"/>
        <v>5</v>
      </c>
      <c r="Q186" s="114">
        <f t="shared" si="26"/>
        <v>0</v>
      </c>
      <c r="R186" s="114">
        <f t="shared" si="35"/>
        <v>0</v>
      </c>
      <c r="S186" s="114">
        <f t="shared" si="27"/>
        <v>0</v>
      </c>
      <c r="T186" s="114">
        <f t="shared" si="28"/>
        <v>0</v>
      </c>
      <c r="U186" s="114">
        <f t="shared" si="36"/>
        <v>57</v>
      </c>
      <c r="V186" s="114">
        <f t="shared" si="29"/>
        <v>0</v>
      </c>
    </row>
    <row r="187" spans="1:22" ht="60">
      <c r="A187" s="10" t="str">
        <f>Questions!$A187</f>
        <v>HIPA-01</v>
      </c>
      <c r="B187" s="10" t="str">
        <f t="shared" si="30"/>
        <v>HIPA</v>
      </c>
      <c r="C187" s="10" t="str">
        <f>VLOOKUP($A187,Questions!$A$3:$L$333,2,0)&amp;""</f>
        <v>Do your workforce members receive regular training related to the Health Insurance Portability and Accountability Act (HIPAA) Privacy and Security Rules and the HITECH Act?*</v>
      </c>
      <c r="D187" s="10" t="str">
        <f>VLOOKUP($A187,Questions!$A$3:$L$333,11,0)&amp;""</f>
        <v/>
      </c>
      <c r="E187" s="10" t="str">
        <f>VLOOKUP($A187,Questions!$A$3:$L$333,12,0)&amp;""</f>
        <v>Case-specific</v>
      </c>
      <c r="F187" s="10" t="str">
        <f>VLOOKUP($A187,'Institution Evaluation'!$A$56:$K$346,3,0)&amp;""</f>
        <v/>
      </c>
      <c r="G187" s="10" t="str">
        <f>VLOOKUP($A187,'Institution Evaluation'!$A$56:$K$346,7,0)&amp;""</f>
        <v>Yes</v>
      </c>
      <c r="H187" s="10" t="str">
        <f>VLOOKUP($A187,'Institution Evaluation'!$A$56:$K$346,8,0)&amp;""</f>
        <v/>
      </c>
      <c r="I187" s="10" t="str">
        <f>VLOOKUP($A187,'Institution Evaluation'!$A$56:$K$346,9,0)&amp;""</f>
        <v>Critical Importance</v>
      </c>
      <c r="J187" s="10" t="str">
        <f>VLOOKUP($A187,'Institution Evaluation'!$A$56:$K$346,10,0)&amp;""</f>
        <v/>
      </c>
      <c r="K187" s="10">
        <f t="shared" si="31"/>
        <v>20</v>
      </c>
      <c r="L187" s="114">
        <f>IF($E187="Not Scored", "N/A",IF(AND($D187='Auto Responses'!$J$27,$H187=""),"N/A",IF(AND($D187='Auto Responses'!$J$27,$H187='Auto Responses'!$J$7),1,IF(AND($D187='Auto Responses'!$J$27,$H187='Auto Responses'!$J$8),0,IF(OR($F187=$G187,$H187='Auto Responses'!$J$7),1,0)))))</f>
        <v>0</v>
      </c>
      <c r="M187" s="10" t="str">
        <f>VLOOKUP($A187,'Institution Evaluation'!$A$56:$K$346,10,0)&amp;""</f>
        <v/>
      </c>
      <c r="N187" s="10">
        <f t="shared" si="32"/>
        <v>1</v>
      </c>
      <c r="O187" s="114" t="str">
        <f>IF(OR($F$21="No",$E187="Not Scored"),"N/A",IF($J187="",$K187,IF($J187="Minor Importance",5,IF($J187="Standard Importance",10,IF($J187="Critical Importance",20,0)))))</f>
        <v>N/A</v>
      </c>
      <c r="P187" s="114" t="str">
        <f t="shared" si="34"/>
        <v>N/A</v>
      </c>
      <c r="Q187" s="114">
        <f t="shared" si="26"/>
        <v>0</v>
      </c>
      <c r="R187" s="114">
        <f t="shared" si="35"/>
        <v>0</v>
      </c>
      <c r="S187" s="114">
        <f t="shared" si="27"/>
        <v>0</v>
      </c>
      <c r="T187" s="114">
        <f t="shared" si="28"/>
        <v>1</v>
      </c>
      <c r="U187" s="114">
        <f t="shared" si="36"/>
        <v>58</v>
      </c>
      <c r="V187" s="114">
        <f t="shared" si="29"/>
        <v>58</v>
      </c>
    </row>
    <row r="188" spans="1:22" ht="60">
      <c r="A188" s="10" t="str">
        <f>Questions!$A188</f>
        <v>HIPA-02</v>
      </c>
      <c r="B188" s="10" t="str">
        <f t="shared" si="30"/>
        <v>HIPA</v>
      </c>
      <c r="C188" s="10" t="str">
        <f>VLOOKUP($A188,Questions!$A$3:$L$333,2,0)&amp;""</f>
        <v>Have you identified areas of risk?*</v>
      </c>
      <c r="D188" s="10" t="str">
        <f>VLOOKUP($A188,Questions!$A$3:$L$333,11,0)&amp;""</f>
        <v/>
      </c>
      <c r="E188" s="10" t="str">
        <f>VLOOKUP($A188,Questions!$A$3:$L$333,12,0)&amp;""</f>
        <v>Case-specific</v>
      </c>
      <c r="F188" s="10" t="str">
        <f>VLOOKUP($A188,'Institution Evaluation'!$A$56:$K$346,3,0)&amp;""</f>
        <v/>
      </c>
      <c r="G188" s="10" t="str">
        <f>VLOOKUP($A188,'Institution Evaluation'!$A$56:$K$346,7,0)&amp;""</f>
        <v>Yes</v>
      </c>
      <c r="H188" s="10" t="str">
        <f>VLOOKUP($A188,'Institution Evaluation'!$A$56:$K$346,8,0)&amp;""</f>
        <v/>
      </c>
      <c r="I188" s="10" t="str">
        <f>VLOOKUP($A188,'Institution Evaluation'!$A$56:$K$346,9,0)&amp;""</f>
        <v>Critical Importance</v>
      </c>
      <c r="J188" s="10" t="str">
        <f>VLOOKUP($A188,'Institution Evaluation'!$A$56:$K$346,10,0)&amp;""</f>
        <v/>
      </c>
      <c r="K188" s="10">
        <f t="shared" si="31"/>
        <v>20</v>
      </c>
      <c r="L188" s="114">
        <f>IF($E188="Not Scored", "N/A",IF(AND($D188='Auto Responses'!$J$27,$H188=""),"N/A",IF(AND($D188='Auto Responses'!$J$27,$H188='Auto Responses'!$J$7),1,IF(AND($D188='Auto Responses'!$J$27,$H188='Auto Responses'!$J$8),0,IF(OR($F188=$G188,$H188='Auto Responses'!$J$7),1,0)))))</f>
        <v>0</v>
      </c>
      <c r="M188" s="10" t="str">
        <f>VLOOKUP($A188,'Institution Evaluation'!$A$56:$K$346,10,0)&amp;""</f>
        <v/>
      </c>
      <c r="N188" s="10">
        <f t="shared" si="32"/>
        <v>1</v>
      </c>
      <c r="O188" s="114" t="str">
        <f t="shared" ref="O188:O215" si="41">IF(OR($F$21="No",$E188="Not Scored"),"N/A",IF($J188="",$K188,IF($J188="Minor Importance",5,IF($J188="Standard Importance",10,IF($J188="Critical Importance",20,0)))))</f>
        <v>N/A</v>
      </c>
      <c r="P188" s="114" t="str">
        <f t="shared" si="34"/>
        <v>N/A</v>
      </c>
      <c r="Q188" s="114">
        <f t="shared" si="26"/>
        <v>0</v>
      </c>
      <c r="R188" s="114">
        <f t="shared" si="35"/>
        <v>0</v>
      </c>
      <c r="S188" s="114">
        <f t="shared" si="27"/>
        <v>0</v>
      </c>
      <c r="T188" s="114">
        <f t="shared" si="28"/>
        <v>1</v>
      </c>
      <c r="U188" s="114">
        <f t="shared" si="36"/>
        <v>59</v>
      </c>
      <c r="V188" s="114">
        <f t="shared" si="29"/>
        <v>59</v>
      </c>
    </row>
    <row r="189" spans="1:22" ht="60">
      <c r="A189" s="10" t="str">
        <f>Questions!$A189</f>
        <v>HIPA-03</v>
      </c>
      <c r="B189" s="10" t="str">
        <f t="shared" si="30"/>
        <v>HIPA</v>
      </c>
      <c r="C189" s="10" t="str">
        <f>VLOOKUP($A189,Questions!$A$3:$L$333,2,0)&amp;""</f>
        <v>Have the relevant policies/plans been tested?*</v>
      </c>
      <c r="D189" s="10" t="str">
        <f>VLOOKUP($A189,Questions!$A$3:$L$333,11,0)&amp;""</f>
        <v/>
      </c>
      <c r="E189" s="10" t="str">
        <f>VLOOKUP($A189,Questions!$A$3:$L$333,12,0)&amp;""</f>
        <v>Case-specific</v>
      </c>
      <c r="F189" s="10" t="str">
        <f>VLOOKUP($A189,'Institution Evaluation'!$A$56:$K$346,3,0)&amp;""</f>
        <v/>
      </c>
      <c r="G189" s="10" t="str">
        <f>VLOOKUP($A189,'Institution Evaluation'!$A$56:$K$346,7,0)&amp;""</f>
        <v>Yes</v>
      </c>
      <c r="H189" s="10" t="str">
        <f>VLOOKUP($A189,'Institution Evaluation'!$A$56:$K$346,8,0)&amp;""</f>
        <v/>
      </c>
      <c r="I189" s="10" t="str">
        <f>VLOOKUP($A189,'Institution Evaluation'!$A$56:$K$346,9,0)&amp;""</f>
        <v>Critical Importance</v>
      </c>
      <c r="J189" s="10" t="str">
        <f>VLOOKUP($A189,'Institution Evaluation'!$A$56:$K$346,10,0)&amp;""</f>
        <v/>
      </c>
      <c r="K189" s="10">
        <f t="shared" si="31"/>
        <v>20</v>
      </c>
      <c r="L189" s="114">
        <f>IF($E189="Not Scored", "N/A",IF(AND($D189='Auto Responses'!$J$27,$H189=""),"N/A",IF(AND($D189='Auto Responses'!$J$27,$H189='Auto Responses'!$J$7),1,IF(AND($D189='Auto Responses'!$J$27,$H189='Auto Responses'!$J$8),0,IF(OR($F189=$G189,$H189='Auto Responses'!$J$7),1,0)))))</f>
        <v>0</v>
      </c>
      <c r="M189" s="10" t="str">
        <f>VLOOKUP($A189,'Institution Evaluation'!$A$56:$K$346,10,0)&amp;""</f>
        <v/>
      </c>
      <c r="N189" s="10">
        <f t="shared" si="32"/>
        <v>1</v>
      </c>
      <c r="O189" s="114" t="str">
        <f t="shared" si="41"/>
        <v>N/A</v>
      </c>
      <c r="P189" s="114" t="str">
        <f t="shared" si="34"/>
        <v>N/A</v>
      </c>
      <c r="Q189" s="114">
        <f t="shared" si="26"/>
        <v>0</v>
      </c>
      <c r="R189" s="114">
        <f t="shared" si="35"/>
        <v>0</v>
      </c>
      <c r="S189" s="114">
        <f t="shared" si="27"/>
        <v>0</v>
      </c>
      <c r="T189" s="114">
        <f t="shared" si="28"/>
        <v>1</v>
      </c>
      <c r="U189" s="114">
        <f t="shared" si="36"/>
        <v>60</v>
      </c>
      <c r="V189" s="114">
        <f t="shared" si="29"/>
        <v>60</v>
      </c>
    </row>
    <row r="190" spans="1:22" ht="60">
      <c r="A190" s="10" t="str">
        <f>Questions!$A190</f>
        <v>HIPA-04</v>
      </c>
      <c r="B190" s="10" t="str">
        <f t="shared" si="30"/>
        <v>HIPA</v>
      </c>
      <c r="C190" s="10" t="str">
        <f>VLOOKUP($A190,Questions!$A$3:$L$333,2,0)&amp;""</f>
        <v>Have you entered into a Business Associate Agreements with all subcontractors who may have access to protected health information (PHI)?*</v>
      </c>
      <c r="D190" s="10" t="str">
        <f>VLOOKUP($A190,Questions!$A$3:$L$333,11,0)&amp;""</f>
        <v/>
      </c>
      <c r="E190" s="10" t="str">
        <f>VLOOKUP($A190,Questions!$A$3:$L$333,12,0)&amp;""</f>
        <v>Case-specific</v>
      </c>
      <c r="F190" s="10" t="str">
        <f>VLOOKUP($A190,'Institution Evaluation'!$A$56:$K$346,3,0)&amp;""</f>
        <v/>
      </c>
      <c r="G190" s="10" t="str">
        <f>VLOOKUP($A190,'Institution Evaluation'!$A$56:$K$346,7,0)&amp;""</f>
        <v>Yes</v>
      </c>
      <c r="H190" s="10" t="str">
        <f>VLOOKUP($A190,'Institution Evaluation'!$A$56:$K$346,8,0)&amp;""</f>
        <v/>
      </c>
      <c r="I190" s="10" t="str">
        <f>VLOOKUP($A190,'Institution Evaluation'!$A$56:$K$346,9,0)&amp;""</f>
        <v>Critical Importance</v>
      </c>
      <c r="J190" s="10" t="str">
        <f>VLOOKUP($A190,'Institution Evaluation'!$A$56:$K$346,10,0)&amp;""</f>
        <v/>
      </c>
      <c r="K190" s="10">
        <f t="shared" si="31"/>
        <v>20</v>
      </c>
      <c r="L190" s="114">
        <f>IF($E190="Not Scored", "N/A",IF(AND($D190='Auto Responses'!$J$27,$H190=""),"N/A",IF(AND($D190='Auto Responses'!$J$27,$H190='Auto Responses'!$J$7),1,IF(AND($D190='Auto Responses'!$J$27,$H190='Auto Responses'!$J$8),0,IF(OR($F190=$G190,$H190='Auto Responses'!$J$7),1,0)))))</f>
        <v>0</v>
      </c>
      <c r="M190" s="10" t="str">
        <f>VLOOKUP($A190,'Institution Evaluation'!$A$56:$K$346,10,0)&amp;""</f>
        <v/>
      </c>
      <c r="N190" s="10">
        <f t="shared" si="32"/>
        <v>1</v>
      </c>
      <c r="O190" s="114" t="str">
        <f t="shared" si="41"/>
        <v>N/A</v>
      </c>
      <c r="P190" s="114" t="str">
        <f t="shared" si="34"/>
        <v>N/A</v>
      </c>
      <c r="Q190" s="114">
        <f t="shared" ref="Q190:Q253" si="42">IF(M190="TRUE",1,0)</f>
        <v>0</v>
      </c>
      <c r="R190" s="114">
        <f t="shared" si="35"/>
        <v>0</v>
      </c>
      <c r="S190" s="114">
        <f t="shared" ref="S190:S253" si="43">IF(Q190=0,0,R190)</f>
        <v>0</v>
      </c>
      <c r="T190" s="114">
        <f t="shared" ref="T190:T253" si="44">IF(N190=1,1,0)</f>
        <v>1</v>
      </c>
      <c r="U190" s="114">
        <f t="shared" si="36"/>
        <v>61</v>
      </c>
      <c r="V190" s="114">
        <f t="shared" ref="V190:V253" si="45">IF(T190=0,0,U190)</f>
        <v>61</v>
      </c>
    </row>
    <row r="191" spans="1:22" ht="60">
      <c r="A191" s="10" t="str">
        <f>Questions!$A191</f>
        <v>HIPA-05</v>
      </c>
      <c r="B191" s="10" t="str">
        <f t="shared" ref="B191:B254" si="46">LEFT(A191,4)</f>
        <v>HIPA</v>
      </c>
      <c r="C191" s="10" t="str">
        <f>VLOOKUP($A191,Questions!$A$3:$L$333,2,0)&amp;""</f>
        <v>Do you monitor or receive information regarding changes in HIPAA regulations?</v>
      </c>
      <c r="D191" s="10" t="str">
        <f>VLOOKUP($A191,Questions!$A$3:$L$333,11,0)&amp;""</f>
        <v/>
      </c>
      <c r="E191" s="10" t="str">
        <f>VLOOKUP($A191,Questions!$A$3:$L$333,12,0)&amp;""</f>
        <v>Case-specific</v>
      </c>
      <c r="F191" s="10" t="str">
        <f>VLOOKUP($A191,'Institution Evaluation'!$A$56:$K$346,3,0)&amp;""</f>
        <v/>
      </c>
      <c r="G191" s="10" t="str">
        <f>VLOOKUP($A191,'Institution Evaluation'!$A$56:$K$346,7,0)&amp;""</f>
        <v>Yes</v>
      </c>
      <c r="H191" s="10" t="str">
        <f>VLOOKUP($A191,'Institution Evaluation'!$A$56:$K$346,8,0)&amp;""</f>
        <v/>
      </c>
      <c r="I191" s="10" t="str">
        <f>VLOOKUP($A191,'Institution Evaluation'!$A$56:$K$346,9,0)&amp;""</f>
        <v>Standard Importance</v>
      </c>
      <c r="J191" s="10" t="str">
        <f>VLOOKUP($A191,'Institution Evaluation'!$A$56:$K$346,10,0)&amp;""</f>
        <v/>
      </c>
      <c r="K191" s="10">
        <f t="shared" ref="K191:K254" si="47">IF($I191="Critical Importance",20,IF($I191="Minor Importance",5,10))</f>
        <v>10</v>
      </c>
      <c r="L191" s="114">
        <f>IF($E191="Not Scored", "N/A",IF(AND($D191='Auto Responses'!$J$27,$H191=""),"N/A",IF(AND($D191='Auto Responses'!$J$27,$H191='Auto Responses'!$J$7),1,IF(AND($D191='Auto Responses'!$J$27,$H191='Auto Responses'!$J$8),0,IF(OR($F191=$G191,$H191='Auto Responses'!$J$7),1,0)))))</f>
        <v>0</v>
      </c>
      <c r="M191" s="10" t="str">
        <f>VLOOKUP($A191,'Institution Evaluation'!$A$56:$K$346,10,0)&amp;""</f>
        <v/>
      </c>
      <c r="N191" s="10">
        <f t="shared" ref="N191:N254" si="48">IF($J191="Critical Importance",1,IF(AND($J191="",$I191="Critical Importance"),1,0))</f>
        <v>0</v>
      </c>
      <c r="O191" s="114" t="str">
        <f t="shared" si="41"/>
        <v>N/A</v>
      </c>
      <c r="P191" s="114" t="str">
        <f t="shared" ref="P191:P254" si="49">IF(OR($O191="N/A",$L191="N/A"),"N/A",$O191*$L191)</f>
        <v>N/A</v>
      </c>
      <c r="Q191" s="114">
        <f t="shared" si="42"/>
        <v>0</v>
      </c>
      <c r="R191" s="114">
        <f t="shared" si="35"/>
        <v>0</v>
      </c>
      <c r="S191" s="114">
        <f t="shared" si="43"/>
        <v>0</v>
      </c>
      <c r="T191" s="114">
        <f t="shared" si="44"/>
        <v>0</v>
      </c>
      <c r="U191" s="114">
        <f t="shared" si="36"/>
        <v>61</v>
      </c>
      <c r="V191" s="114">
        <f t="shared" si="45"/>
        <v>0</v>
      </c>
    </row>
    <row r="192" spans="1:22" ht="60">
      <c r="A192" s="10" t="str">
        <f>Questions!$A192</f>
        <v>HIPA-06</v>
      </c>
      <c r="B192" s="10" t="str">
        <f t="shared" si="46"/>
        <v>HIPA</v>
      </c>
      <c r="C192" s="10" t="str">
        <f>VLOOKUP($A192,Questions!$A$3:$L$333,2,0)&amp;""</f>
        <v>Has your organization designated HIPAA Privacy and Security officers as required by the rules?</v>
      </c>
      <c r="D192" s="10" t="str">
        <f>VLOOKUP($A192,Questions!$A$3:$L$333,11,0)&amp;""</f>
        <v/>
      </c>
      <c r="E192" s="10" t="str">
        <f>VLOOKUP($A192,Questions!$A$3:$L$333,12,0)&amp;""</f>
        <v>Case-specific</v>
      </c>
      <c r="F192" s="10" t="str">
        <f>VLOOKUP($A192,'Institution Evaluation'!$A$56:$K$346,3,0)&amp;""</f>
        <v/>
      </c>
      <c r="G192" s="10" t="str">
        <f>VLOOKUP($A192,'Institution Evaluation'!$A$56:$K$346,7,0)&amp;""</f>
        <v>Yes</v>
      </c>
      <c r="H192" s="10" t="str">
        <f>VLOOKUP($A192,'Institution Evaluation'!$A$56:$K$346,8,0)&amp;""</f>
        <v/>
      </c>
      <c r="I192" s="10" t="str">
        <f>VLOOKUP($A192,'Institution Evaluation'!$A$56:$K$346,9,0)&amp;""</f>
        <v>Standard Importance</v>
      </c>
      <c r="J192" s="10" t="str">
        <f>VLOOKUP($A192,'Institution Evaluation'!$A$56:$K$346,10,0)&amp;""</f>
        <v/>
      </c>
      <c r="K192" s="10">
        <f t="shared" si="47"/>
        <v>10</v>
      </c>
      <c r="L192" s="114">
        <f>IF($E192="Not Scored", "N/A",IF(AND($D192='Auto Responses'!$J$27,$H192=""),"N/A",IF(AND($D192='Auto Responses'!$J$27,$H192='Auto Responses'!$J$7),1,IF(AND($D192='Auto Responses'!$J$27,$H192='Auto Responses'!$J$8),0,IF(OR($F192=$G192,$H192='Auto Responses'!$J$7),1,0)))))</f>
        <v>0</v>
      </c>
      <c r="M192" s="10" t="str">
        <f>VLOOKUP($A192,'Institution Evaluation'!$A$56:$K$346,10,0)&amp;""</f>
        <v/>
      </c>
      <c r="N192" s="10">
        <f t="shared" si="48"/>
        <v>0</v>
      </c>
      <c r="O192" s="114" t="str">
        <f t="shared" si="41"/>
        <v>N/A</v>
      </c>
      <c r="P192" s="114" t="str">
        <f t="shared" si="49"/>
        <v>N/A</v>
      </c>
      <c r="Q192" s="114">
        <f t="shared" si="42"/>
        <v>0</v>
      </c>
      <c r="R192" s="114">
        <f t="shared" si="35"/>
        <v>0</v>
      </c>
      <c r="S192" s="114">
        <f t="shared" si="43"/>
        <v>0</v>
      </c>
      <c r="T192" s="114">
        <f t="shared" si="44"/>
        <v>0</v>
      </c>
      <c r="U192" s="114">
        <f t="shared" si="36"/>
        <v>61</v>
      </c>
      <c r="V192" s="114">
        <f t="shared" si="45"/>
        <v>0</v>
      </c>
    </row>
    <row r="193" spans="1:22" ht="60">
      <c r="A193" s="10" t="str">
        <f>Questions!$A193</f>
        <v>HIPA-07</v>
      </c>
      <c r="B193" s="10" t="str">
        <f t="shared" si="46"/>
        <v>HIPA</v>
      </c>
      <c r="C193" s="10" t="str">
        <f>VLOOKUP($A193,Questions!$A$3:$L$333,2,0)&amp;""</f>
        <v>Do you comply with the requirements of the Health Information Technology for Economic and Clinical Health Act (HITECH)?</v>
      </c>
      <c r="D193" s="10" t="str">
        <f>VLOOKUP($A193,Questions!$A$3:$L$333,11,0)&amp;""</f>
        <v/>
      </c>
      <c r="E193" s="10" t="str">
        <f>VLOOKUP($A193,Questions!$A$3:$L$333,12,0)&amp;""</f>
        <v>Case-specific</v>
      </c>
      <c r="F193" s="10" t="str">
        <f>VLOOKUP($A193,'Institution Evaluation'!$A$56:$K$346,3,0)&amp;""</f>
        <v/>
      </c>
      <c r="G193" s="10" t="str">
        <f>VLOOKUP($A193,'Institution Evaluation'!$A$56:$K$346,7,0)&amp;""</f>
        <v>Yes</v>
      </c>
      <c r="H193" s="10" t="str">
        <f>VLOOKUP($A193,'Institution Evaluation'!$A$56:$K$346,8,0)&amp;""</f>
        <v/>
      </c>
      <c r="I193" s="10" t="str">
        <f>VLOOKUP($A193,'Institution Evaluation'!$A$56:$K$346,9,0)&amp;""</f>
        <v>Standard Importance</v>
      </c>
      <c r="J193" s="10" t="str">
        <f>VLOOKUP($A193,'Institution Evaluation'!$A$56:$K$346,10,0)&amp;""</f>
        <v/>
      </c>
      <c r="K193" s="10">
        <f t="shared" si="47"/>
        <v>10</v>
      </c>
      <c r="L193" s="114">
        <f>IF($E193="Not Scored", "N/A",IF(AND($D193='Auto Responses'!$J$27,$H193=""),"N/A",IF(AND($D193='Auto Responses'!$J$27,$H193='Auto Responses'!$J$7),1,IF(AND($D193='Auto Responses'!$J$27,$H193='Auto Responses'!$J$8),0,IF(OR($F193=$G193,$H193='Auto Responses'!$J$7),1,0)))))</f>
        <v>0</v>
      </c>
      <c r="M193" s="10" t="str">
        <f>VLOOKUP($A193,'Institution Evaluation'!$A$56:$K$346,10,0)&amp;""</f>
        <v/>
      </c>
      <c r="N193" s="10">
        <f t="shared" si="48"/>
        <v>0</v>
      </c>
      <c r="O193" s="114" t="str">
        <f t="shared" si="41"/>
        <v>N/A</v>
      </c>
      <c r="P193" s="114" t="str">
        <f t="shared" si="49"/>
        <v>N/A</v>
      </c>
      <c r="Q193" s="114">
        <f t="shared" si="42"/>
        <v>0</v>
      </c>
      <c r="R193" s="114">
        <f t="shared" si="35"/>
        <v>0</v>
      </c>
      <c r="S193" s="114">
        <f t="shared" si="43"/>
        <v>0</v>
      </c>
      <c r="T193" s="114">
        <f t="shared" si="44"/>
        <v>0</v>
      </c>
      <c r="U193" s="114">
        <f t="shared" si="36"/>
        <v>61</v>
      </c>
      <c r="V193" s="114">
        <f t="shared" si="45"/>
        <v>0</v>
      </c>
    </row>
    <row r="194" spans="1:22" ht="60">
      <c r="A194" s="10" t="str">
        <f>Questions!$A194</f>
        <v>HIPA-08</v>
      </c>
      <c r="B194" s="10" t="str">
        <f t="shared" si="46"/>
        <v>HIPA</v>
      </c>
      <c r="C194" s="10" t="str">
        <f>VLOOKUP($A194,Questions!$A$3:$L$333,2,0)&amp;""</f>
        <v>Have you conducted a risk analysis as required under the HIPAA Security Rule?</v>
      </c>
      <c r="D194" s="10" t="str">
        <f>VLOOKUP($A194,Questions!$A$3:$L$333,11,0)&amp;""</f>
        <v/>
      </c>
      <c r="E194" s="10" t="str">
        <f>VLOOKUP($A194,Questions!$A$3:$L$333,12,0)&amp;""</f>
        <v>Case-specific</v>
      </c>
      <c r="F194" s="10" t="str">
        <f>VLOOKUP($A194,'Institution Evaluation'!$A$56:$K$346,3,0)&amp;""</f>
        <v/>
      </c>
      <c r="G194" s="10" t="str">
        <f>VLOOKUP($A194,'Institution Evaluation'!$A$56:$K$346,7,0)&amp;""</f>
        <v>Yes</v>
      </c>
      <c r="H194" s="10" t="str">
        <f>VLOOKUP($A194,'Institution Evaluation'!$A$56:$K$346,8,0)&amp;""</f>
        <v/>
      </c>
      <c r="I194" s="10" t="str">
        <f>VLOOKUP($A194,'Institution Evaluation'!$A$56:$K$346,9,0)&amp;""</f>
        <v>Standard Importance</v>
      </c>
      <c r="J194" s="10" t="str">
        <f>VLOOKUP($A194,'Institution Evaluation'!$A$56:$K$346,10,0)&amp;""</f>
        <v/>
      </c>
      <c r="K194" s="10">
        <f t="shared" si="47"/>
        <v>10</v>
      </c>
      <c r="L194" s="114">
        <f>IF($E194="Not Scored", "N/A",IF(AND($D194='Auto Responses'!$J$27,$H194=""),"N/A",IF(AND($D194='Auto Responses'!$J$27,$H194='Auto Responses'!$J$7),1,IF(AND($D194='Auto Responses'!$J$27,$H194='Auto Responses'!$J$8),0,IF(OR($F194=$G194,$H194='Auto Responses'!$J$7),1,0)))))</f>
        <v>0</v>
      </c>
      <c r="M194" s="10" t="str">
        <f>VLOOKUP($A194,'Institution Evaluation'!$A$56:$K$346,10,0)&amp;""</f>
        <v/>
      </c>
      <c r="N194" s="10">
        <f t="shared" si="48"/>
        <v>0</v>
      </c>
      <c r="O194" s="114" t="str">
        <f t="shared" si="41"/>
        <v>N/A</v>
      </c>
      <c r="P194" s="114" t="str">
        <f t="shared" si="49"/>
        <v>N/A</v>
      </c>
      <c r="Q194" s="114">
        <f t="shared" si="42"/>
        <v>0</v>
      </c>
      <c r="R194" s="114">
        <f t="shared" si="35"/>
        <v>0</v>
      </c>
      <c r="S194" s="114">
        <f t="shared" si="43"/>
        <v>0</v>
      </c>
      <c r="T194" s="114">
        <f t="shared" si="44"/>
        <v>0</v>
      </c>
      <c r="U194" s="114">
        <f t="shared" si="36"/>
        <v>61</v>
      </c>
      <c r="V194" s="114">
        <f t="shared" si="45"/>
        <v>0</v>
      </c>
    </row>
    <row r="195" spans="1:22" ht="60">
      <c r="A195" s="10" t="str">
        <f>Questions!$A195</f>
        <v>HIPA-09</v>
      </c>
      <c r="B195" s="10" t="str">
        <f t="shared" si="46"/>
        <v>HIPA</v>
      </c>
      <c r="C195" s="10" t="str">
        <f>VLOOKUP($A195,Questions!$A$3:$L$333,2,0)&amp;""</f>
        <v>Have you taken actions to mitigate the identified risks?</v>
      </c>
      <c r="D195" s="10" t="str">
        <f>VLOOKUP($A195,Questions!$A$3:$L$333,11,0)&amp;""</f>
        <v/>
      </c>
      <c r="E195" s="10" t="str">
        <f>VLOOKUP($A195,Questions!$A$3:$L$333,12,0)&amp;""</f>
        <v>Case-specific</v>
      </c>
      <c r="F195" s="10" t="str">
        <f>VLOOKUP($A195,'Institution Evaluation'!$A$56:$K$346,3,0)&amp;""</f>
        <v/>
      </c>
      <c r="G195" s="10" t="str">
        <f>VLOOKUP($A195,'Institution Evaluation'!$A$56:$K$346,7,0)&amp;""</f>
        <v>Yes</v>
      </c>
      <c r="H195" s="10" t="str">
        <f>VLOOKUP($A195,'Institution Evaluation'!$A$56:$K$346,8,0)&amp;""</f>
        <v/>
      </c>
      <c r="I195" s="10" t="str">
        <f>VLOOKUP($A195,'Institution Evaluation'!$A$56:$K$346,9,0)&amp;""</f>
        <v>Standard Importance</v>
      </c>
      <c r="J195" s="10" t="str">
        <f>VLOOKUP($A195,'Institution Evaluation'!$A$56:$K$346,10,0)&amp;""</f>
        <v/>
      </c>
      <c r="K195" s="10">
        <f t="shared" si="47"/>
        <v>10</v>
      </c>
      <c r="L195" s="114">
        <f>IF($E195="Not Scored", "N/A",IF(AND($D195='Auto Responses'!$J$27,$H195=""),"N/A",IF(AND($D195='Auto Responses'!$J$27,$H195='Auto Responses'!$J$7),1,IF(AND($D195='Auto Responses'!$J$27,$H195='Auto Responses'!$J$8),0,IF(OR($F195=$G195,$H195='Auto Responses'!$J$7),1,0)))))</f>
        <v>0</v>
      </c>
      <c r="M195" s="10" t="str">
        <f>VLOOKUP($A195,'Institution Evaluation'!$A$56:$K$346,10,0)&amp;""</f>
        <v/>
      </c>
      <c r="N195" s="10">
        <f t="shared" si="48"/>
        <v>0</v>
      </c>
      <c r="O195" s="114" t="str">
        <f t="shared" si="41"/>
        <v>N/A</v>
      </c>
      <c r="P195" s="114" t="str">
        <f t="shared" si="49"/>
        <v>N/A</v>
      </c>
      <c r="Q195" s="114">
        <f t="shared" si="42"/>
        <v>0</v>
      </c>
      <c r="R195" s="114">
        <f t="shared" si="35"/>
        <v>0</v>
      </c>
      <c r="S195" s="114">
        <f t="shared" si="43"/>
        <v>0</v>
      </c>
      <c r="T195" s="114">
        <f t="shared" si="44"/>
        <v>0</v>
      </c>
      <c r="U195" s="114">
        <f t="shared" si="36"/>
        <v>61</v>
      </c>
      <c r="V195" s="114">
        <f t="shared" si="45"/>
        <v>0</v>
      </c>
    </row>
    <row r="196" spans="1:22" ht="60">
      <c r="A196" s="10" t="str">
        <f>Questions!$A196</f>
        <v>HIPA-10</v>
      </c>
      <c r="B196" s="10" t="str">
        <f t="shared" si="46"/>
        <v>HIPA</v>
      </c>
      <c r="C196" s="10" t="str">
        <f>VLOOKUP($A196,Questions!$A$3:$L$333,2,0)&amp;""</f>
        <v>Does your application require user and system administrator password changes at a frequency no greater than 90 days?</v>
      </c>
      <c r="D196" s="10" t="str">
        <f>VLOOKUP($A196,Questions!$A$3:$L$333,11,0)&amp;""</f>
        <v/>
      </c>
      <c r="E196" s="10" t="str">
        <f>VLOOKUP($A196,Questions!$A$3:$L$333,12,0)&amp;""</f>
        <v>Case-specific</v>
      </c>
      <c r="F196" s="10" t="str">
        <f>VLOOKUP($A196,'Institution Evaluation'!$A$56:$K$346,3,0)&amp;""</f>
        <v/>
      </c>
      <c r="G196" s="10" t="str">
        <f>VLOOKUP($A196,'Institution Evaluation'!$A$56:$K$346,7,0)&amp;""</f>
        <v>Yes</v>
      </c>
      <c r="H196" s="10" t="str">
        <f>VLOOKUP($A196,'Institution Evaluation'!$A$56:$K$346,8,0)&amp;""</f>
        <v/>
      </c>
      <c r="I196" s="10" t="str">
        <f>VLOOKUP($A196,'Institution Evaluation'!$A$56:$K$346,9,0)&amp;""</f>
        <v>Standard Importance</v>
      </c>
      <c r="J196" s="10" t="str">
        <f>VLOOKUP($A196,'Institution Evaluation'!$A$56:$K$346,10,0)&amp;""</f>
        <v/>
      </c>
      <c r="K196" s="10">
        <f t="shared" si="47"/>
        <v>10</v>
      </c>
      <c r="L196" s="114">
        <f>IF($E196="Not Scored", "N/A",IF(AND($D196='Auto Responses'!$J$27,$H196=""),"N/A",IF(AND($D196='Auto Responses'!$J$27,$H196='Auto Responses'!$J$7),1,IF(AND($D196='Auto Responses'!$J$27,$H196='Auto Responses'!$J$8),0,IF(OR($F196=$G196,$H196='Auto Responses'!$J$7),1,0)))))</f>
        <v>0</v>
      </c>
      <c r="M196" s="10" t="str">
        <f>VLOOKUP($A196,'Institution Evaluation'!$A$56:$K$346,10,0)&amp;""</f>
        <v/>
      </c>
      <c r="N196" s="10">
        <f t="shared" si="48"/>
        <v>0</v>
      </c>
      <c r="O196" s="114" t="str">
        <f t="shared" si="41"/>
        <v>N/A</v>
      </c>
      <c r="P196" s="114" t="str">
        <f t="shared" si="49"/>
        <v>N/A</v>
      </c>
      <c r="Q196" s="114">
        <f t="shared" si="42"/>
        <v>0</v>
      </c>
      <c r="R196" s="114">
        <f t="shared" si="35"/>
        <v>0</v>
      </c>
      <c r="S196" s="114">
        <f t="shared" si="43"/>
        <v>0</v>
      </c>
      <c r="T196" s="114">
        <f t="shared" si="44"/>
        <v>0</v>
      </c>
      <c r="U196" s="114">
        <f t="shared" si="36"/>
        <v>61</v>
      </c>
      <c r="V196" s="114">
        <f t="shared" si="45"/>
        <v>0</v>
      </c>
    </row>
    <row r="197" spans="1:22" ht="60">
      <c r="A197" s="10" t="str">
        <f>Questions!$A197</f>
        <v>HIPA-11</v>
      </c>
      <c r="B197" s="10" t="str">
        <f t="shared" si="46"/>
        <v>HIPA</v>
      </c>
      <c r="C197" s="10" t="str">
        <f>VLOOKUP($A197,Questions!$A$3:$L$333,2,0)&amp;""</f>
        <v>Does your application require users to set their own password after an administrator reset or on first use of the account?</v>
      </c>
      <c r="D197" s="10" t="str">
        <f>VLOOKUP($A197,Questions!$A$3:$L$333,11,0)&amp;""</f>
        <v/>
      </c>
      <c r="E197" s="10" t="str">
        <f>VLOOKUP($A197,Questions!$A$3:$L$333,12,0)&amp;""</f>
        <v>Case-specific</v>
      </c>
      <c r="F197" s="10" t="str">
        <f>VLOOKUP($A197,'Institution Evaluation'!$A$56:$K$346,3,0)&amp;""</f>
        <v/>
      </c>
      <c r="G197" s="10" t="str">
        <f>VLOOKUP($A197,'Institution Evaluation'!$A$56:$K$346,7,0)&amp;""</f>
        <v>Yes</v>
      </c>
      <c r="H197" s="10" t="str">
        <f>VLOOKUP($A197,'Institution Evaluation'!$A$56:$K$346,8,0)&amp;""</f>
        <v/>
      </c>
      <c r="I197" s="10" t="str">
        <f>VLOOKUP($A197,'Institution Evaluation'!$A$56:$K$346,9,0)&amp;""</f>
        <v>Standard Importance</v>
      </c>
      <c r="J197" s="10" t="str">
        <f>VLOOKUP($A197,'Institution Evaluation'!$A$56:$K$346,10,0)&amp;""</f>
        <v/>
      </c>
      <c r="K197" s="10">
        <f t="shared" si="47"/>
        <v>10</v>
      </c>
      <c r="L197" s="114">
        <f>IF($E197="Not Scored", "N/A",IF(AND($D197='Auto Responses'!$J$27,$H197=""),"N/A",IF(AND($D197='Auto Responses'!$J$27,$H197='Auto Responses'!$J$7),1,IF(AND($D197='Auto Responses'!$J$27,$H197='Auto Responses'!$J$8),0,IF(OR($F197=$G197,$H197='Auto Responses'!$J$7),1,0)))))</f>
        <v>0</v>
      </c>
      <c r="M197" s="10" t="str">
        <f>VLOOKUP($A197,'Institution Evaluation'!$A$56:$K$346,10,0)&amp;""</f>
        <v/>
      </c>
      <c r="N197" s="10">
        <f t="shared" si="48"/>
        <v>0</v>
      </c>
      <c r="O197" s="114" t="str">
        <f t="shared" si="41"/>
        <v>N/A</v>
      </c>
      <c r="P197" s="114" t="str">
        <f t="shared" si="49"/>
        <v>N/A</v>
      </c>
      <c r="Q197" s="114">
        <f t="shared" si="42"/>
        <v>0</v>
      </c>
      <c r="R197" s="114">
        <f t="shared" ref="R197:R260" si="50">R196+Q197</f>
        <v>0</v>
      </c>
      <c r="S197" s="114">
        <f t="shared" si="43"/>
        <v>0</v>
      </c>
      <c r="T197" s="114">
        <f t="shared" si="44"/>
        <v>0</v>
      </c>
      <c r="U197" s="114">
        <f t="shared" ref="U197:U260" si="51">U196+T197</f>
        <v>61</v>
      </c>
      <c r="V197" s="114">
        <f t="shared" si="45"/>
        <v>0</v>
      </c>
    </row>
    <row r="198" spans="1:22" ht="60">
      <c r="A198" s="10" t="str">
        <f>Questions!$A198</f>
        <v>HIPA-12</v>
      </c>
      <c r="B198" s="10" t="str">
        <f t="shared" si="46"/>
        <v>HIPA</v>
      </c>
      <c r="C198" s="10" t="str">
        <f>VLOOKUP($A198,Questions!$A$3:$L$333,2,0)&amp;""</f>
        <v>Does your application lock out an account after a number of failed login attempts?</v>
      </c>
      <c r="D198" s="10" t="str">
        <f>VLOOKUP($A198,Questions!$A$3:$L$333,11,0)&amp;""</f>
        <v/>
      </c>
      <c r="E198" s="10" t="str">
        <f>VLOOKUP($A198,Questions!$A$3:$L$333,12,0)&amp;""</f>
        <v>Case-specific</v>
      </c>
      <c r="F198" s="10" t="str">
        <f>VLOOKUP($A198,'Institution Evaluation'!$A$56:$K$346,3,0)&amp;""</f>
        <v/>
      </c>
      <c r="G198" s="10" t="str">
        <f>VLOOKUP($A198,'Institution Evaluation'!$A$56:$K$346,7,0)&amp;""</f>
        <v>Yes</v>
      </c>
      <c r="H198" s="10" t="str">
        <f>VLOOKUP($A198,'Institution Evaluation'!$A$56:$K$346,8,0)&amp;""</f>
        <v/>
      </c>
      <c r="I198" s="10" t="str">
        <f>VLOOKUP($A198,'Institution Evaluation'!$A$56:$K$346,9,0)&amp;""</f>
        <v>Standard Importance</v>
      </c>
      <c r="J198" s="10" t="str">
        <f>VLOOKUP($A198,'Institution Evaluation'!$A$56:$K$346,10,0)&amp;""</f>
        <v/>
      </c>
      <c r="K198" s="10">
        <f t="shared" si="47"/>
        <v>10</v>
      </c>
      <c r="L198" s="114">
        <f>IF($E198="Not Scored", "N/A",IF(AND($D198='Auto Responses'!$J$27,$H198=""),"N/A",IF(AND($D198='Auto Responses'!$J$27,$H198='Auto Responses'!$J$7),1,IF(AND($D198='Auto Responses'!$J$27,$H198='Auto Responses'!$J$8),0,IF(OR($F198=$G198,$H198='Auto Responses'!$J$7),1,0)))))</f>
        <v>0</v>
      </c>
      <c r="M198" s="10" t="str">
        <f>VLOOKUP($A198,'Institution Evaluation'!$A$56:$K$346,10,0)&amp;""</f>
        <v/>
      </c>
      <c r="N198" s="10">
        <f t="shared" si="48"/>
        <v>0</v>
      </c>
      <c r="O198" s="114" t="str">
        <f t="shared" si="41"/>
        <v>N/A</v>
      </c>
      <c r="P198" s="114" t="str">
        <f t="shared" si="49"/>
        <v>N/A</v>
      </c>
      <c r="Q198" s="114">
        <f t="shared" si="42"/>
        <v>0</v>
      </c>
      <c r="R198" s="114">
        <f t="shared" si="50"/>
        <v>0</v>
      </c>
      <c r="S198" s="114">
        <f t="shared" si="43"/>
        <v>0</v>
      </c>
      <c r="T198" s="114">
        <f t="shared" si="44"/>
        <v>0</v>
      </c>
      <c r="U198" s="114">
        <f t="shared" si="51"/>
        <v>61</v>
      </c>
      <c r="V198" s="114">
        <f t="shared" si="45"/>
        <v>0</v>
      </c>
    </row>
    <row r="199" spans="1:22" ht="60">
      <c r="A199" s="10" t="str">
        <f>Questions!$A199</f>
        <v>HIPA-13</v>
      </c>
      <c r="B199" s="10" t="str">
        <f t="shared" si="46"/>
        <v>HIPA</v>
      </c>
      <c r="C199" s="10" t="str">
        <f>VLOOKUP($A199,Questions!$A$3:$L$333,2,0)&amp;""</f>
        <v>Does your application automatically lock or log-out an account after a period of inactivity?</v>
      </c>
      <c r="D199" s="10" t="str">
        <f>VLOOKUP($A199,Questions!$A$3:$L$333,11,0)&amp;""</f>
        <v/>
      </c>
      <c r="E199" s="10" t="str">
        <f>VLOOKUP($A199,Questions!$A$3:$L$333,12,0)&amp;""</f>
        <v>Case-specific</v>
      </c>
      <c r="F199" s="10" t="str">
        <f>VLOOKUP($A199,'Institution Evaluation'!$A$56:$K$346,3,0)&amp;""</f>
        <v/>
      </c>
      <c r="G199" s="10" t="str">
        <f>VLOOKUP($A199,'Institution Evaluation'!$A$56:$K$346,7,0)&amp;""</f>
        <v>Yes</v>
      </c>
      <c r="H199" s="10" t="str">
        <f>VLOOKUP($A199,'Institution Evaluation'!$A$56:$K$346,8,0)&amp;""</f>
        <v/>
      </c>
      <c r="I199" s="10" t="str">
        <f>VLOOKUP($A199,'Institution Evaluation'!$A$56:$K$346,9,0)&amp;""</f>
        <v>Standard Importance</v>
      </c>
      <c r="J199" s="10" t="str">
        <f>VLOOKUP($A199,'Institution Evaluation'!$A$56:$K$346,10,0)&amp;""</f>
        <v/>
      </c>
      <c r="K199" s="10">
        <f t="shared" si="47"/>
        <v>10</v>
      </c>
      <c r="L199" s="114">
        <f>IF($E199="Not Scored", "N/A",IF(AND($D199='Auto Responses'!$J$27,$H199=""),"N/A",IF(AND($D199='Auto Responses'!$J$27,$H199='Auto Responses'!$J$7),1,IF(AND($D199='Auto Responses'!$J$27,$H199='Auto Responses'!$J$8),0,IF(OR($F199=$G199,$H199='Auto Responses'!$J$7),1,0)))))</f>
        <v>0</v>
      </c>
      <c r="M199" s="10" t="str">
        <f>VLOOKUP($A199,'Institution Evaluation'!$A$56:$K$346,10,0)&amp;""</f>
        <v/>
      </c>
      <c r="N199" s="10">
        <f t="shared" si="48"/>
        <v>0</v>
      </c>
      <c r="O199" s="114" t="str">
        <f t="shared" si="41"/>
        <v>N/A</v>
      </c>
      <c r="P199" s="114" t="str">
        <f t="shared" si="49"/>
        <v>N/A</v>
      </c>
      <c r="Q199" s="114">
        <f t="shared" si="42"/>
        <v>0</v>
      </c>
      <c r="R199" s="114">
        <f t="shared" si="50"/>
        <v>0</v>
      </c>
      <c r="S199" s="114">
        <f t="shared" si="43"/>
        <v>0</v>
      </c>
      <c r="T199" s="114">
        <f t="shared" si="44"/>
        <v>0</v>
      </c>
      <c r="U199" s="114">
        <f t="shared" si="51"/>
        <v>61</v>
      </c>
      <c r="V199" s="114">
        <f t="shared" si="45"/>
        <v>0</v>
      </c>
    </row>
    <row r="200" spans="1:22" ht="60">
      <c r="A200" s="10" t="str">
        <f>Questions!$A200</f>
        <v>HIPA-14</v>
      </c>
      <c r="B200" s="10" t="str">
        <f t="shared" si="46"/>
        <v>HIPA</v>
      </c>
      <c r="C200" s="10" t="str">
        <f>VLOOKUP($A200,Questions!$A$3:$L$333,2,0)&amp;""</f>
        <v>Are passwords visible in plain text, whether when stored or entered, including service level accounts (i.e., database accounts, etc.)?</v>
      </c>
      <c r="D200" s="10" t="str">
        <f>VLOOKUP($A200,Questions!$A$3:$L$333,11,0)&amp;""</f>
        <v/>
      </c>
      <c r="E200" s="10" t="str">
        <f>VLOOKUP($A200,Questions!$A$3:$L$333,12,0)&amp;""</f>
        <v>Case-specific</v>
      </c>
      <c r="F200" s="10" t="str">
        <f>VLOOKUP($A200,'Institution Evaluation'!$A$56:$K$346,3,0)&amp;""</f>
        <v/>
      </c>
      <c r="G200" s="10" t="str">
        <f>VLOOKUP($A200,'Institution Evaluation'!$A$56:$K$346,7,0)&amp;""</f>
        <v>No</v>
      </c>
      <c r="H200" s="10" t="str">
        <f>VLOOKUP($A200,'Institution Evaluation'!$A$56:$K$346,8,0)&amp;""</f>
        <v/>
      </c>
      <c r="I200" s="10" t="str">
        <f>VLOOKUP($A200,'Institution Evaluation'!$A$56:$K$346,9,0)&amp;""</f>
        <v>Standard Importance</v>
      </c>
      <c r="J200" s="10" t="str">
        <f>VLOOKUP($A200,'Institution Evaluation'!$A$56:$K$346,10,0)&amp;""</f>
        <v/>
      </c>
      <c r="K200" s="10">
        <f t="shared" si="47"/>
        <v>10</v>
      </c>
      <c r="L200" s="114">
        <f>IF($E200="Not Scored", "N/A",IF(AND($D200='Auto Responses'!$J$27,$H200=""),"N/A",IF(AND($D200='Auto Responses'!$J$27,$H200='Auto Responses'!$J$7),1,IF(AND($D200='Auto Responses'!$J$27,$H200='Auto Responses'!$J$8),0,IF(OR($F200=$G200,$H200='Auto Responses'!$J$7),1,0)))))</f>
        <v>0</v>
      </c>
      <c r="M200" s="10" t="str">
        <f>VLOOKUP($A200,'Institution Evaluation'!$A$56:$K$346,10,0)&amp;""</f>
        <v/>
      </c>
      <c r="N200" s="10">
        <f t="shared" si="48"/>
        <v>0</v>
      </c>
      <c r="O200" s="114" t="str">
        <f t="shared" si="41"/>
        <v>N/A</v>
      </c>
      <c r="P200" s="114" t="str">
        <f t="shared" si="49"/>
        <v>N/A</v>
      </c>
      <c r="Q200" s="114">
        <f t="shared" si="42"/>
        <v>0</v>
      </c>
      <c r="R200" s="114">
        <f t="shared" si="50"/>
        <v>0</v>
      </c>
      <c r="S200" s="114">
        <f t="shared" si="43"/>
        <v>0</v>
      </c>
      <c r="T200" s="114">
        <f t="shared" si="44"/>
        <v>0</v>
      </c>
      <c r="U200" s="114">
        <f t="shared" si="51"/>
        <v>61</v>
      </c>
      <c r="V200" s="114">
        <f t="shared" si="45"/>
        <v>0</v>
      </c>
    </row>
    <row r="201" spans="1:22" ht="60">
      <c r="A201" s="10" t="str">
        <f>Questions!$A201</f>
        <v>HIPA-15</v>
      </c>
      <c r="B201" s="10" t="str">
        <f t="shared" si="46"/>
        <v>HIPA</v>
      </c>
      <c r="C201" s="10" t="str">
        <f>VLOOKUP($A201,Questions!$A$3:$L$333,2,0)&amp;""</f>
        <v>If the application is institution-hosted, can all service level and administrative account passwords be changed by the institution?</v>
      </c>
      <c r="D201" s="10" t="str">
        <f>VLOOKUP($A201,Questions!$A$3:$L$333,11,0)&amp;""</f>
        <v/>
      </c>
      <c r="E201" s="10" t="str">
        <f>VLOOKUP($A201,Questions!$A$3:$L$333,12,0)&amp;""</f>
        <v>Case-specific</v>
      </c>
      <c r="F201" s="10" t="str">
        <f>VLOOKUP($A201,'Institution Evaluation'!$A$56:$K$346,3,0)&amp;""</f>
        <v/>
      </c>
      <c r="G201" s="10" t="str">
        <f>VLOOKUP($A201,'Institution Evaluation'!$A$56:$K$346,7,0)&amp;""</f>
        <v>Yes</v>
      </c>
      <c r="H201" s="10" t="str">
        <f>VLOOKUP($A201,'Institution Evaluation'!$A$56:$K$346,8,0)&amp;""</f>
        <v/>
      </c>
      <c r="I201" s="10" t="str">
        <f>VLOOKUP($A201,'Institution Evaluation'!$A$56:$K$346,9,0)&amp;""</f>
        <v>Standard Importance</v>
      </c>
      <c r="J201" s="10" t="str">
        <f>VLOOKUP($A201,'Institution Evaluation'!$A$56:$K$346,10,0)&amp;""</f>
        <v/>
      </c>
      <c r="K201" s="10">
        <f t="shared" si="47"/>
        <v>10</v>
      </c>
      <c r="L201" s="114">
        <f>IF($E201="Not Scored", "N/A",IF(AND($D201='Auto Responses'!$J$27,$H201=""),"N/A",IF(AND($D201='Auto Responses'!$J$27,$H201='Auto Responses'!$J$7),1,IF(AND($D201='Auto Responses'!$J$27,$H201='Auto Responses'!$J$8),0,IF(OR($F201=$G201,$H201='Auto Responses'!$J$7),1,0)))))</f>
        <v>0</v>
      </c>
      <c r="M201" s="10" t="str">
        <f>VLOOKUP($A201,'Institution Evaluation'!$A$56:$K$346,10,0)&amp;""</f>
        <v/>
      </c>
      <c r="N201" s="10">
        <f t="shared" si="48"/>
        <v>0</v>
      </c>
      <c r="O201" s="114" t="str">
        <f t="shared" si="41"/>
        <v>N/A</v>
      </c>
      <c r="P201" s="114" t="str">
        <f t="shared" si="49"/>
        <v>N/A</v>
      </c>
      <c r="Q201" s="114">
        <f t="shared" si="42"/>
        <v>0</v>
      </c>
      <c r="R201" s="114">
        <f t="shared" si="50"/>
        <v>0</v>
      </c>
      <c r="S201" s="114">
        <f t="shared" si="43"/>
        <v>0</v>
      </c>
      <c r="T201" s="114">
        <f t="shared" si="44"/>
        <v>0</v>
      </c>
      <c r="U201" s="114">
        <f t="shared" si="51"/>
        <v>61</v>
      </c>
      <c r="V201" s="114">
        <f t="shared" si="45"/>
        <v>0</v>
      </c>
    </row>
    <row r="202" spans="1:22" ht="60">
      <c r="A202" s="10" t="str">
        <f>Questions!$A202</f>
        <v>HIPA-16</v>
      </c>
      <c r="B202" s="10" t="str">
        <f t="shared" si="46"/>
        <v>HIPA</v>
      </c>
      <c r="C202" s="10" t="str">
        <f>VLOOKUP($A202,Questions!$A$3:$L$333,2,0)&amp;""</f>
        <v>Does your application provide the ability to define user access levels?</v>
      </c>
      <c r="D202" s="10" t="str">
        <f>VLOOKUP($A202,Questions!$A$3:$L$333,11,0)&amp;""</f>
        <v/>
      </c>
      <c r="E202" s="10" t="str">
        <f>VLOOKUP($A202,Questions!$A$3:$L$333,12,0)&amp;""</f>
        <v>Case-specific</v>
      </c>
      <c r="F202" s="10" t="str">
        <f>VLOOKUP($A202,'Institution Evaluation'!$A$56:$K$346,3,0)&amp;""</f>
        <v/>
      </c>
      <c r="G202" s="10" t="str">
        <f>VLOOKUP($A202,'Institution Evaluation'!$A$56:$K$346,7,0)&amp;""</f>
        <v>Yes</v>
      </c>
      <c r="H202" s="10" t="str">
        <f>VLOOKUP($A202,'Institution Evaluation'!$A$56:$K$346,8,0)&amp;""</f>
        <v/>
      </c>
      <c r="I202" s="10" t="str">
        <f>VLOOKUP($A202,'Institution Evaluation'!$A$56:$K$346,9,0)&amp;""</f>
        <v>Standard Importance</v>
      </c>
      <c r="J202" s="10" t="str">
        <f>VLOOKUP($A202,'Institution Evaluation'!$A$56:$K$346,10,0)&amp;""</f>
        <v/>
      </c>
      <c r="K202" s="10">
        <f t="shared" si="47"/>
        <v>10</v>
      </c>
      <c r="L202" s="114">
        <f>IF($E202="Not Scored", "N/A",IF(AND($D202='Auto Responses'!$J$27,$H202=""),"N/A",IF(AND($D202='Auto Responses'!$J$27,$H202='Auto Responses'!$J$7),1,IF(AND($D202='Auto Responses'!$J$27,$H202='Auto Responses'!$J$8),0,IF(OR($F202=$G202,$H202='Auto Responses'!$J$7),1,0)))))</f>
        <v>0</v>
      </c>
      <c r="M202" s="10" t="str">
        <f>VLOOKUP($A202,'Institution Evaluation'!$A$56:$K$346,10,0)&amp;""</f>
        <v/>
      </c>
      <c r="N202" s="10">
        <f t="shared" si="48"/>
        <v>0</v>
      </c>
      <c r="O202" s="114" t="str">
        <f t="shared" si="41"/>
        <v>N/A</v>
      </c>
      <c r="P202" s="114" t="str">
        <f t="shared" si="49"/>
        <v>N/A</v>
      </c>
      <c r="Q202" s="114">
        <f t="shared" si="42"/>
        <v>0</v>
      </c>
      <c r="R202" s="114">
        <f t="shared" si="50"/>
        <v>0</v>
      </c>
      <c r="S202" s="114">
        <f t="shared" si="43"/>
        <v>0</v>
      </c>
      <c r="T202" s="114">
        <f t="shared" si="44"/>
        <v>0</v>
      </c>
      <c r="U202" s="114">
        <f t="shared" si="51"/>
        <v>61</v>
      </c>
      <c r="V202" s="114">
        <f t="shared" si="45"/>
        <v>0</v>
      </c>
    </row>
    <row r="203" spans="1:22" ht="60">
      <c r="A203" s="10" t="str">
        <f>Questions!$A203</f>
        <v>HIPA-17</v>
      </c>
      <c r="B203" s="10" t="str">
        <f t="shared" si="46"/>
        <v>HIPA</v>
      </c>
      <c r="C203" s="10" t="str">
        <f>VLOOKUP($A203,Questions!$A$3:$L$333,2,0)&amp;""</f>
        <v>Does your application support varying levels of access to administrative tasks defined individually per user?</v>
      </c>
      <c r="D203" s="10" t="str">
        <f>VLOOKUP($A203,Questions!$A$3:$L$333,11,0)&amp;""</f>
        <v/>
      </c>
      <c r="E203" s="10" t="str">
        <f>VLOOKUP($A203,Questions!$A$3:$L$333,12,0)&amp;""</f>
        <v>Case-specific</v>
      </c>
      <c r="F203" s="10" t="str">
        <f>VLOOKUP($A203,'Institution Evaluation'!$A$56:$K$346,3,0)&amp;""</f>
        <v/>
      </c>
      <c r="G203" s="10" t="str">
        <f>VLOOKUP($A203,'Institution Evaluation'!$A$56:$K$346,7,0)&amp;""</f>
        <v>Yes</v>
      </c>
      <c r="H203" s="10" t="str">
        <f>VLOOKUP($A203,'Institution Evaluation'!$A$56:$K$346,8,0)&amp;""</f>
        <v/>
      </c>
      <c r="I203" s="10" t="str">
        <f>VLOOKUP($A203,'Institution Evaluation'!$A$56:$K$346,9,0)&amp;""</f>
        <v>Standard Importance</v>
      </c>
      <c r="J203" s="10" t="str">
        <f>VLOOKUP($A203,'Institution Evaluation'!$A$56:$K$346,10,0)&amp;""</f>
        <v/>
      </c>
      <c r="K203" s="10">
        <f t="shared" si="47"/>
        <v>10</v>
      </c>
      <c r="L203" s="114">
        <f>IF($E203="Not Scored", "N/A",IF(AND($D203='Auto Responses'!$J$27,$H203=""),"N/A",IF(AND($D203='Auto Responses'!$J$27,$H203='Auto Responses'!$J$7),1,IF(AND($D203='Auto Responses'!$J$27,$H203='Auto Responses'!$J$8),0,IF(OR($F203=$G203,$H203='Auto Responses'!$J$7),1,0)))))</f>
        <v>0</v>
      </c>
      <c r="M203" s="10" t="str">
        <f>VLOOKUP($A203,'Institution Evaluation'!$A$56:$K$346,10,0)&amp;""</f>
        <v/>
      </c>
      <c r="N203" s="10">
        <f t="shared" si="48"/>
        <v>0</v>
      </c>
      <c r="O203" s="114" t="str">
        <f t="shared" si="41"/>
        <v>N/A</v>
      </c>
      <c r="P203" s="114" t="str">
        <f t="shared" si="49"/>
        <v>N/A</v>
      </c>
      <c r="Q203" s="114">
        <f t="shared" si="42"/>
        <v>0</v>
      </c>
      <c r="R203" s="114">
        <f t="shared" si="50"/>
        <v>0</v>
      </c>
      <c r="S203" s="114">
        <f t="shared" si="43"/>
        <v>0</v>
      </c>
      <c r="T203" s="114">
        <f t="shared" si="44"/>
        <v>0</v>
      </c>
      <c r="U203" s="114">
        <f t="shared" si="51"/>
        <v>61</v>
      </c>
      <c r="V203" s="114">
        <f t="shared" si="45"/>
        <v>0</v>
      </c>
    </row>
    <row r="204" spans="1:22" ht="60">
      <c r="A204" s="10" t="str">
        <f>Questions!$A204</f>
        <v>HIPA-18</v>
      </c>
      <c r="B204" s="10" t="str">
        <f t="shared" si="46"/>
        <v>HIPA</v>
      </c>
      <c r="C204" s="10" t="str">
        <f>VLOOKUP($A204,Questions!$A$3:$L$333,2,0)&amp;""</f>
        <v>Does your application support varying levels of access to records based on user ID?</v>
      </c>
      <c r="D204" s="10" t="str">
        <f>VLOOKUP($A204,Questions!$A$3:$L$333,11,0)&amp;""</f>
        <v/>
      </c>
      <c r="E204" s="10" t="str">
        <f>VLOOKUP($A204,Questions!$A$3:$L$333,12,0)&amp;""</f>
        <v>Case-specific</v>
      </c>
      <c r="F204" s="10" t="str">
        <f>VLOOKUP($A204,'Institution Evaluation'!$A$56:$K$346,3,0)&amp;""</f>
        <v/>
      </c>
      <c r="G204" s="10" t="str">
        <f>VLOOKUP($A204,'Institution Evaluation'!$A$56:$K$346,7,0)&amp;""</f>
        <v>No</v>
      </c>
      <c r="H204" s="10" t="str">
        <f>VLOOKUP($A204,'Institution Evaluation'!$A$56:$K$346,8,0)&amp;""</f>
        <v/>
      </c>
      <c r="I204" s="10" t="str">
        <f>VLOOKUP($A204,'Institution Evaluation'!$A$56:$K$346,9,0)&amp;""</f>
        <v>Standard Importance</v>
      </c>
      <c r="J204" s="10" t="str">
        <f>VLOOKUP($A204,'Institution Evaluation'!$A$56:$K$346,10,0)&amp;""</f>
        <v/>
      </c>
      <c r="K204" s="10">
        <f t="shared" si="47"/>
        <v>10</v>
      </c>
      <c r="L204" s="114">
        <f>IF($E204="Not Scored", "N/A",IF(AND($D204='Auto Responses'!$J$27,$H204=""),"N/A",IF(AND($D204='Auto Responses'!$J$27,$H204='Auto Responses'!$J$7),1,IF(AND($D204='Auto Responses'!$J$27,$H204='Auto Responses'!$J$8),0,IF(OR($F204=$G204,$H204='Auto Responses'!$J$7),1,0)))))</f>
        <v>0</v>
      </c>
      <c r="M204" s="10" t="str">
        <f>VLOOKUP($A204,'Institution Evaluation'!$A$56:$K$346,10,0)&amp;""</f>
        <v/>
      </c>
      <c r="N204" s="10">
        <f t="shared" si="48"/>
        <v>0</v>
      </c>
      <c r="O204" s="114" t="str">
        <f t="shared" si="41"/>
        <v>N/A</v>
      </c>
      <c r="P204" s="114" t="str">
        <f t="shared" si="49"/>
        <v>N/A</v>
      </c>
      <c r="Q204" s="114">
        <f t="shared" si="42"/>
        <v>0</v>
      </c>
      <c r="R204" s="114">
        <f t="shared" si="50"/>
        <v>0</v>
      </c>
      <c r="S204" s="114">
        <f t="shared" si="43"/>
        <v>0</v>
      </c>
      <c r="T204" s="114">
        <f t="shared" si="44"/>
        <v>0</v>
      </c>
      <c r="U204" s="114">
        <f t="shared" si="51"/>
        <v>61</v>
      </c>
      <c r="V204" s="114">
        <f t="shared" si="45"/>
        <v>0</v>
      </c>
    </row>
    <row r="205" spans="1:22" ht="60">
      <c r="A205" s="10" t="str">
        <f>Questions!$A205</f>
        <v>HIPA-19</v>
      </c>
      <c r="B205" s="10" t="str">
        <f t="shared" si="46"/>
        <v>HIPA</v>
      </c>
      <c r="C205" s="10" t="str">
        <f>VLOOKUP($A205,Questions!$A$3:$L$333,2,0)&amp;""</f>
        <v>Is there a limit to the number of groups to which a user can be assigned?</v>
      </c>
      <c r="D205" s="10" t="str">
        <f>VLOOKUP($A205,Questions!$A$3:$L$333,11,0)&amp;""</f>
        <v/>
      </c>
      <c r="E205" s="10" t="str">
        <f>VLOOKUP($A205,Questions!$A$3:$L$333,12,0)&amp;""</f>
        <v>Case-specific</v>
      </c>
      <c r="F205" s="10" t="str">
        <f>VLOOKUP($A205,'Institution Evaluation'!$A$56:$K$346,3,0)&amp;""</f>
        <v/>
      </c>
      <c r="G205" s="10" t="str">
        <f>VLOOKUP($A205,'Institution Evaluation'!$A$56:$K$346,7,0)&amp;""</f>
        <v>Yes</v>
      </c>
      <c r="H205" s="10" t="str">
        <f>VLOOKUP($A205,'Institution Evaluation'!$A$56:$K$346,8,0)&amp;""</f>
        <v/>
      </c>
      <c r="I205" s="10" t="str">
        <f>VLOOKUP($A205,'Institution Evaluation'!$A$56:$K$346,9,0)&amp;""</f>
        <v>Standard Importance</v>
      </c>
      <c r="J205" s="10" t="str">
        <f>VLOOKUP($A205,'Institution Evaluation'!$A$56:$K$346,10,0)&amp;""</f>
        <v/>
      </c>
      <c r="K205" s="10">
        <f t="shared" si="47"/>
        <v>10</v>
      </c>
      <c r="L205" s="114">
        <f>IF($E205="Not Scored", "N/A",IF(AND($D205='Auto Responses'!$J$27,$H205=""),"N/A",IF(AND($D205='Auto Responses'!$J$27,$H205='Auto Responses'!$J$7),1,IF(AND($D205='Auto Responses'!$J$27,$H205='Auto Responses'!$J$8),0,IF(OR($F205=$G205,$H205='Auto Responses'!$J$7),1,0)))))</f>
        <v>0</v>
      </c>
      <c r="M205" s="10" t="str">
        <f>VLOOKUP($A205,'Institution Evaluation'!$A$56:$K$346,10,0)&amp;""</f>
        <v/>
      </c>
      <c r="N205" s="10">
        <f t="shared" si="48"/>
        <v>0</v>
      </c>
      <c r="O205" s="114" t="str">
        <f t="shared" si="41"/>
        <v>N/A</v>
      </c>
      <c r="P205" s="114" t="str">
        <f t="shared" si="49"/>
        <v>N/A</v>
      </c>
      <c r="Q205" s="114">
        <f t="shared" si="42"/>
        <v>0</v>
      </c>
      <c r="R205" s="114">
        <f t="shared" si="50"/>
        <v>0</v>
      </c>
      <c r="S205" s="114">
        <f t="shared" si="43"/>
        <v>0</v>
      </c>
      <c r="T205" s="114">
        <f t="shared" si="44"/>
        <v>0</v>
      </c>
      <c r="U205" s="114">
        <f t="shared" si="51"/>
        <v>61</v>
      </c>
      <c r="V205" s="114">
        <f t="shared" si="45"/>
        <v>0</v>
      </c>
    </row>
    <row r="206" spans="1:22" ht="60">
      <c r="A206" s="10" t="str">
        <f>Questions!$A206</f>
        <v>HIPA-20</v>
      </c>
      <c r="B206" s="10" t="str">
        <f t="shared" si="46"/>
        <v>HIPA</v>
      </c>
      <c r="C206" s="10" t="str">
        <f>VLOOKUP($A206,Questions!$A$3:$L$333,2,0)&amp;""</f>
        <v>Do accounts used for solution provider-supplied remote support abide by the same authentication policies and access logging as the rest of the system?</v>
      </c>
      <c r="D206" s="10" t="str">
        <f>VLOOKUP($A206,Questions!$A$3:$L$333,11,0)&amp;""</f>
        <v/>
      </c>
      <c r="E206" s="10" t="str">
        <f>VLOOKUP($A206,Questions!$A$3:$L$333,12,0)&amp;""</f>
        <v>Case-specific</v>
      </c>
      <c r="F206" s="10" t="str">
        <f>VLOOKUP($A206,'Institution Evaluation'!$A$56:$K$346,3,0)&amp;""</f>
        <v/>
      </c>
      <c r="G206" s="10" t="str">
        <f>VLOOKUP($A206,'Institution Evaluation'!$A$56:$K$346,7,0)&amp;""</f>
        <v>Yes</v>
      </c>
      <c r="H206" s="10" t="str">
        <f>VLOOKUP($A206,'Institution Evaluation'!$A$56:$K$346,8,0)&amp;""</f>
        <v/>
      </c>
      <c r="I206" s="10" t="str">
        <f>VLOOKUP($A206,'Institution Evaluation'!$A$56:$K$346,9,0)&amp;""</f>
        <v>Standard Importance</v>
      </c>
      <c r="J206" s="10" t="str">
        <f>VLOOKUP($A206,'Institution Evaluation'!$A$56:$K$346,10,0)&amp;""</f>
        <v/>
      </c>
      <c r="K206" s="10">
        <f t="shared" si="47"/>
        <v>10</v>
      </c>
      <c r="L206" s="114">
        <f>IF($E206="Not Scored", "N/A",IF(AND($D206='Auto Responses'!$J$27,$H206=""),"N/A",IF(AND($D206='Auto Responses'!$J$27,$H206='Auto Responses'!$J$7),1,IF(AND($D206='Auto Responses'!$J$27,$H206='Auto Responses'!$J$8),0,IF(OR($F206=$G206,$H206='Auto Responses'!$J$7),1,0)))))</f>
        <v>0</v>
      </c>
      <c r="M206" s="10" t="str">
        <f>VLOOKUP($A206,'Institution Evaluation'!$A$56:$K$346,10,0)&amp;""</f>
        <v/>
      </c>
      <c r="N206" s="10">
        <f t="shared" si="48"/>
        <v>0</v>
      </c>
      <c r="O206" s="114" t="str">
        <f t="shared" si="41"/>
        <v>N/A</v>
      </c>
      <c r="P206" s="114" t="str">
        <f t="shared" si="49"/>
        <v>N/A</v>
      </c>
      <c r="Q206" s="114">
        <f t="shared" si="42"/>
        <v>0</v>
      </c>
      <c r="R206" s="114">
        <f t="shared" si="50"/>
        <v>0</v>
      </c>
      <c r="S206" s="114">
        <f t="shared" si="43"/>
        <v>0</v>
      </c>
      <c r="T206" s="114">
        <f t="shared" si="44"/>
        <v>0</v>
      </c>
      <c r="U206" s="114">
        <f t="shared" si="51"/>
        <v>61</v>
      </c>
      <c r="V206" s="114">
        <f t="shared" si="45"/>
        <v>0</v>
      </c>
    </row>
    <row r="207" spans="1:22" ht="60">
      <c r="A207" s="10" t="str">
        <f>Questions!$A207</f>
        <v>HIPA-21</v>
      </c>
      <c r="B207" s="10" t="str">
        <f t="shared" si="46"/>
        <v>HIPA</v>
      </c>
      <c r="C207" s="10" t="str">
        <f>VLOOKUP($A207,Questions!$A$3:$L$333,2,0)&amp;""</f>
        <v>Does the application log record access including specific user, date/time of access, and originating IP or device?</v>
      </c>
      <c r="D207" s="10" t="str">
        <f>VLOOKUP($A207,Questions!$A$3:$L$333,11,0)&amp;""</f>
        <v/>
      </c>
      <c r="E207" s="10" t="str">
        <f>VLOOKUP($A207,Questions!$A$3:$L$333,12,0)&amp;""</f>
        <v>Case-specific</v>
      </c>
      <c r="F207" s="10" t="str">
        <f>VLOOKUP($A207,'Institution Evaluation'!$A$56:$K$346,3,0)&amp;""</f>
        <v/>
      </c>
      <c r="G207" s="10" t="str">
        <f>VLOOKUP($A207,'Institution Evaluation'!$A$56:$K$346,7,0)&amp;""</f>
        <v>Yes</v>
      </c>
      <c r="H207" s="10" t="str">
        <f>VLOOKUP($A207,'Institution Evaluation'!$A$56:$K$346,8,0)&amp;""</f>
        <v/>
      </c>
      <c r="I207" s="10" t="str">
        <f>VLOOKUP($A207,'Institution Evaluation'!$A$56:$K$346,9,0)&amp;""</f>
        <v>Standard Importance</v>
      </c>
      <c r="J207" s="10" t="str">
        <f>VLOOKUP($A207,'Institution Evaluation'!$A$56:$K$346,10,0)&amp;""</f>
        <v/>
      </c>
      <c r="K207" s="10">
        <f t="shared" si="47"/>
        <v>10</v>
      </c>
      <c r="L207" s="114">
        <f>IF($E207="Not Scored", "N/A",IF(AND($D207='Auto Responses'!$J$27,$H207=""),"N/A",IF(AND($D207='Auto Responses'!$J$27,$H207='Auto Responses'!$J$7),1,IF(AND($D207='Auto Responses'!$J$27,$H207='Auto Responses'!$J$8),0,IF(OR($F207=$G207,$H207='Auto Responses'!$J$7),1,0)))))</f>
        <v>0</v>
      </c>
      <c r="M207" s="10" t="str">
        <f>VLOOKUP($A207,'Institution Evaluation'!$A$56:$K$346,10,0)&amp;""</f>
        <v/>
      </c>
      <c r="N207" s="10">
        <f t="shared" si="48"/>
        <v>0</v>
      </c>
      <c r="O207" s="114" t="str">
        <f t="shared" si="41"/>
        <v>N/A</v>
      </c>
      <c r="P207" s="114" t="str">
        <f t="shared" si="49"/>
        <v>N/A</v>
      </c>
      <c r="Q207" s="114">
        <f t="shared" si="42"/>
        <v>0</v>
      </c>
      <c r="R207" s="114">
        <f t="shared" si="50"/>
        <v>0</v>
      </c>
      <c r="S207" s="114">
        <f t="shared" si="43"/>
        <v>0</v>
      </c>
      <c r="T207" s="114">
        <f t="shared" si="44"/>
        <v>0</v>
      </c>
      <c r="U207" s="114">
        <f t="shared" si="51"/>
        <v>61</v>
      </c>
      <c r="V207" s="114">
        <f t="shared" si="45"/>
        <v>0</v>
      </c>
    </row>
    <row r="208" spans="1:22" ht="60">
      <c r="A208" s="10" t="str">
        <f>Questions!$A208</f>
        <v>HIPA-22</v>
      </c>
      <c r="B208" s="10" t="str">
        <f t="shared" si="46"/>
        <v>HIPA</v>
      </c>
      <c r="C208" s="10" t="str">
        <f>VLOOKUP($A208,Questions!$A$3:$L$333,2,0)&amp;""</f>
        <v>Does the application log administrative activity, such as user account access changes and password changes, including specific user, date/time of changes, and originating IP or device?</v>
      </c>
      <c r="D208" s="10" t="str">
        <f>VLOOKUP($A208,Questions!$A$3:$L$333,11,0)&amp;""</f>
        <v/>
      </c>
      <c r="E208" s="10" t="str">
        <f>VLOOKUP($A208,Questions!$A$3:$L$333,12,0)&amp;""</f>
        <v>Case-specific</v>
      </c>
      <c r="F208" s="10" t="str">
        <f>VLOOKUP($A208,'Institution Evaluation'!$A$56:$K$346,3,0)&amp;""</f>
        <v/>
      </c>
      <c r="G208" s="10" t="str">
        <f>VLOOKUP($A208,'Institution Evaluation'!$A$56:$K$346,7,0)&amp;""</f>
        <v>Yes</v>
      </c>
      <c r="H208" s="10" t="str">
        <f>VLOOKUP($A208,'Institution Evaluation'!$A$56:$K$346,8,0)&amp;""</f>
        <v/>
      </c>
      <c r="I208" s="10" t="str">
        <f>VLOOKUP($A208,'Institution Evaluation'!$A$56:$K$346,9,0)&amp;""</f>
        <v>Standard Importance</v>
      </c>
      <c r="J208" s="10" t="str">
        <f>VLOOKUP($A208,'Institution Evaluation'!$A$56:$K$346,10,0)&amp;""</f>
        <v/>
      </c>
      <c r="K208" s="10">
        <f t="shared" si="47"/>
        <v>10</v>
      </c>
      <c r="L208" s="114">
        <f>IF($E208="Not Scored", "N/A",IF(AND($D208='Auto Responses'!$J$27,$H208=""),"N/A",IF(AND($D208='Auto Responses'!$J$27,$H208='Auto Responses'!$J$7),1,IF(AND($D208='Auto Responses'!$J$27,$H208='Auto Responses'!$J$8),0,IF(OR($F208=$G208,$H208='Auto Responses'!$J$7),1,0)))))</f>
        <v>0</v>
      </c>
      <c r="M208" s="10" t="str">
        <f>VLOOKUP($A208,'Institution Evaluation'!$A$56:$K$346,10,0)&amp;""</f>
        <v/>
      </c>
      <c r="N208" s="10">
        <f t="shared" si="48"/>
        <v>0</v>
      </c>
      <c r="O208" s="114" t="str">
        <f t="shared" si="41"/>
        <v>N/A</v>
      </c>
      <c r="P208" s="114" t="str">
        <f t="shared" si="49"/>
        <v>N/A</v>
      </c>
      <c r="Q208" s="114">
        <f t="shared" si="42"/>
        <v>0</v>
      </c>
      <c r="R208" s="114">
        <f t="shared" si="50"/>
        <v>0</v>
      </c>
      <c r="S208" s="114">
        <f t="shared" si="43"/>
        <v>0</v>
      </c>
      <c r="T208" s="114">
        <f t="shared" si="44"/>
        <v>0</v>
      </c>
      <c r="U208" s="114">
        <f t="shared" si="51"/>
        <v>61</v>
      </c>
      <c r="V208" s="114">
        <f t="shared" si="45"/>
        <v>0</v>
      </c>
    </row>
    <row r="209" spans="1:22" ht="60">
      <c r="A209" s="10" t="str">
        <f>Questions!$A209</f>
        <v>HIPA-23</v>
      </c>
      <c r="B209" s="10" t="str">
        <f t="shared" si="46"/>
        <v>HIPA</v>
      </c>
      <c r="C209" s="10" t="str">
        <f>VLOOKUP($A209,Questions!$A$3:$L$333,2,0)&amp;""</f>
        <v>Do you retain logs for at least as long as required by HIPAA regulations?</v>
      </c>
      <c r="D209" s="10" t="str">
        <f>VLOOKUP($A209,Questions!$A$3:$L$333,11,0)&amp;""</f>
        <v/>
      </c>
      <c r="E209" s="10" t="str">
        <f>VLOOKUP($A209,Questions!$A$3:$L$333,12,0)&amp;""</f>
        <v>Case-specific</v>
      </c>
      <c r="F209" s="10" t="str">
        <f>VLOOKUP($A209,'Institution Evaluation'!$A$56:$K$346,3,0)&amp;""</f>
        <v/>
      </c>
      <c r="G209" s="10" t="str">
        <f>VLOOKUP($A209,'Institution Evaluation'!$A$56:$K$346,7,0)&amp;""</f>
        <v>Yes</v>
      </c>
      <c r="H209" s="10" t="str">
        <f>VLOOKUP($A209,'Institution Evaluation'!$A$56:$K$346,8,0)&amp;""</f>
        <v/>
      </c>
      <c r="I209" s="10" t="str">
        <f>VLOOKUP($A209,'Institution Evaluation'!$A$56:$K$346,9,0)&amp;""</f>
        <v>Standard Importance</v>
      </c>
      <c r="J209" s="10" t="str">
        <f>VLOOKUP($A209,'Institution Evaluation'!$A$56:$K$346,10,0)&amp;""</f>
        <v/>
      </c>
      <c r="K209" s="10">
        <f t="shared" si="47"/>
        <v>10</v>
      </c>
      <c r="L209" s="114">
        <f>IF($E209="Not Scored", "N/A",IF(AND($D209='Auto Responses'!$J$27,$H209=""),"N/A",IF(AND($D209='Auto Responses'!$J$27,$H209='Auto Responses'!$J$7),1,IF(AND($D209='Auto Responses'!$J$27,$H209='Auto Responses'!$J$8),0,IF(OR($F209=$G209,$H209='Auto Responses'!$J$7),1,0)))))</f>
        <v>0</v>
      </c>
      <c r="M209" s="10" t="str">
        <f>VLOOKUP($A209,'Institution Evaluation'!$A$56:$K$346,10,0)&amp;""</f>
        <v/>
      </c>
      <c r="N209" s="10">
        <f t="shared" si="48"/>
        <v>0</v>
      </c>
      <c r="O209" s="114" t="str">
        <f t="shared" si="41"/>
        <v>N/A</v>
      </c>
      <c r="P209" s="114" t="str">
        <f t="shared" si="49"/>
        <v>N/A</v>
      </c>
      <c r="Q209" s="114">
        <f t="shared" si="42"/>
        <v>0</v>
      </c>
      <c r="R209" s="114">
        <f t="shared" si="50"/>
        <v>0</v>
      </c>
      <c r="S209" s="114">
        <f t="shared" si="43"/>
        <v>0</v>
      </c>
      <c r="T209" s="114">
        <f t="shared" si="44"/>
        <v>0</v>
      </c>
      <c r="U209" s="114">
        <f t="shared" si="51"/>
        <v>61</v>
      </c>
      <c r="V209" s="114">
        <f t="shared" si="45"/>
        <v>0</v>
      </c>
    </row>
    <row r="210" spans="1:22" ht="60">
      <c r="A210" s="10" t="str">
        <f>Questions!$A210</f>
        <v>HIPA-24</v>
      </c>
      <c r="B210" s="10" t="str">
        <f t="shared" si="46"/>
        <v>HIPA</v>
      </c>
      <c r="C210" s="10" t="str">
        <f>VLOOKUP($A210,Questions!$A$3:$L$333,2,0)&amp;""</f>
        <v>Can the application logs be archived?</v>
      </c>
      <c r="D210" s="10" t="str">
        <f>VLOOKUP($A210,Questions!$A$3:$L$333,11,0)&amp;""</f>
        <v/>
      </c>
      <c r="E210" s="10" t="str">
        <f>VLOOKUP($A210,Questions!$A$3:$L$333,12,0)&amp;""</f>
        <v>Case-specific</v>
      </c>
      <c r="F210" s="10" t="str">
        <f>VLOOKUP($A210,'Institution Evaluation'!$A$56:$K$346,3,0)&amp;""</f>
        <v/>
      </c>
      <c r="G210" s="10" t="str">
        <f>VLOOKUP($A210,'Institution Evaluation'!$A$56:$K$346,7,0)&amp;""</f>
        <v>Yes</v>
      </c>
      <c r="H210" s="10" t="str">
        <f>VLOOKUP($A210,'Institution Evaluation'!$A$56:$K$346,8,0)&amp;""</f>
        <v/>
      </c>
      <c r="I210" s="10" t="str">
        <f>VLOOKUP($A210,'Institution Evaluation'!$A$56:$K$346,9,0)&amp;""</f>
        <v>Standard Importance</v>
      </c>
      <c r="J210" s="10" t="str">
        <f>VLOOKUP($A210,'Institution Evaluation'!$A$56:$K$346,10,0)&amp;""</f>
        <v/>
      </c>
      <c r="K210" s="10">
        <f t="shared" si="47"/>
        <v>10</v>
      </c>
      <c r="L210" s="114">
        <f>IF($E210="Not Scored", "N/A",IF(AND($D210='Auto Responses'!$J$27,$H210=""),"N/A",IF(AND($D210='Auto Responses'!$J$27,$H210='Auto Responses'!$J$7),1,IF(AND($D210='Auto Responses'!$J$27,$H210='Auto Responses'!$J$8),0,IF(OR($F210=$G210,$H210='Auto Responses'!$J$7),1,0)))))</f>
        <v>0</v>
      </c>
      <c r="M210" s="10" t="str">
        <f>VLOOKUP($A210,'Institution Evaluation'!$A$56:$K$346,10,0)&amp;""</f>
        <v/>
      </c>
      <c r="N210" s="10">
        <f t="shared" si="48"/>
        <v>0</v>
      </c>
      <c r="O210" s="114" t="str">
        <f t="shared" si="41"/>
        <v>N/A</v>
      </c>
      <c r="P210" s="114" t="str">
        <f t="shared" si="49"/>
        <v>N/A</v>
      </c>
      <c r="Q210" s="114">
        <f t="shared" si="42"/>
        <v>0</v>
      </c>
      <c r="R210" s="114">
        <f t="shared" si="50"/>
        <v>0</v>
      </c>
      <c r="S210" s="114">
        <f t="shared" si="43"/>
        <v>0</v>
      </c>
      <c r="T210" s="114">
        <f t="shared" si="44"/>
        <v>0</v>
      </c>
      <c r="U210" s="114">
        <f t="shared" si="51"/>
        <v>61</v>
      </c>
      <c r="V210" s="114">
        <f t="shared" si="45"/>
        <v>0</v>
      </c>
    </row>
    <row r="211" spans="1:22" ht="60">
      <c r="A211" s="10" t="str">
        <f>Questions!$A211</f>
        <v>HIPA-25</v>
      </c>
      <c r="B211" s="10" t="str">
        <f t="shared" si="46"/>
        <v>HIPA</v>
      </c>
      <c r="C211" s="10" t="str">
        <f>VLOOKUP($A211,Questions!$A$3:$L$333,2,0)&amp;""</f>
        <v>Can the application logs be saved externally?</v>
      </c>
      <c r="D211" s="10" t="str">
        <f>VLOOKUP($A211,Questions!$A$3:$L$333,11,0)&amp;""</f>
        <v/>
      </c>
      <c r="E211" s="10" t="str">
        <f>VLOOKUP($A211,Questions!$A$3:$L$333,12,0)&amp;""</f>
        <v>Case-specific</v>
      </c>
      <c r="F211" s="10" t="str">
        <f>VLOOKUP($A211,'Institution Evaluation'!$A$56:$K$346,3,0)&amp;""</f>
        <v/>
      </c>
      <c r="G211" s="10" t="str">
        <f>VLOOKUP($A211,'Institution Evaluation'!$A$56:$K$346,7,0)&amp;""</f>
        <v>Yes</v>
      </c>
      <c r="H211" s="10" t="str">
        <f>VLOOKUP($A211,'Institution Evaluation'!$A$56:$K$346,8,0)&amp;""</f>
        <v/>
      </c>
      <c r="I211" s="10" t="str">
        <f>VLOOKUP($A211,'Institution Evaluation'!$A$56:$K$346,9,0)&amp;""</f>
        <v>Standard Importance</v>
      </c>
      <c r="J211" s="10" t="str">
        <f>VLOOKUP($A211,'Institution Evaluation'!$A$56:$K$346,10,0)&amp;""</f>
        <v/>
      </c>
      <c r="K211" s="10">
        <f t="shared" si="47"/>
        <v>10</v>
      </c>
      <c r="L211" s="114">
        <f>IF($E211="Not Scored", "N/A",IF(AND($D211='Auto Responses'!$J$27,$H211=""),"N/A",IF(AND($D211='Auto Responses'!$J$27,$H211='Auto Responses'!$J$7),1,IF(AND($D211='Auto Responses'!$J$27,$H211='Auto Responses'!$J$8),0,IF(OR($F211=$G211,$H211='Auto Responses'!$J$7),1,0)))))</f>
        <v>0</v>
      </c>
      <c r="M211" s="10" t="str">
        <f>VLOOKUP($A211,'Institution Evaluation'!$A$56:$K$346,10,0)&amp;""</f>
        <v/>
      </c>
      <c r="N211" s="10">
        <f t="shared" si="48"/>
        <v>0</v>
      </c>
      <c r="O211" s="114" t="str">
        <f t="shared" si="41"/>
        <v>N/A</v>
      </c>
      <c r="P211" s="114" t="str">
        <f t="shared" si="49"/>
        <v>N/A</v>
      </c>
      <c r="Q211" s="114">
        <f t="shared" si="42"/>
        <v>0</v>
      </c>
      <c r="R211" s="114">
        <f t="shared" si="50"/>
        <v>0</v>
      </c>
      <c r="S211" s="114">
        <f t="shared" si="43"/>
        <v>0</v>
      </c>
      <c r="T211" s="114">
        <f t="shared" si="44"/>
        <v>0</v>
      </c>
      <c r="U211" s="114">
        <f t="shared" si="51"/>
        <v>61</v>
      </c>
      <c r="V211" s="114">
        <f t="shared" si="45"/>
        <v>0</v>
      </c>
    </row>
    <row r="212" spans="1:22" ht="60">
      <c r="A212" s="10" t="str">
        <f>Questions!$A212</f>
        <v>HIPA-26</v>
      </c>
      <c r="B212" s="10" t="str">
        <f t="shared" si="46"/>
        <v>HIPA</v>
      </c>
      <c r="C212" s="10" t="str">
        <f>VLOOKUP($A212,Questions!$A$3:$L$333,2,0)&amp;""</f>
        <v>Do you have a disaster recovery plan and emergency mode operation plan?</v>
      </c>
      <c r="D212" s="10" t="str">
        <f>VLOOKUP($A212,Questions!$A$3:$L$333,11,0)&amp;""</f>
        <v/>
      </c>
      <c r="E212" s="10" t="str">
        <f>VLOOKUP($A212,Questions!$A$3:$L$333,12,0)&amp;""</f>
        <v>Case-specific</v>
      </c>
      <c r="F212" s="10" t="str">
        <f>VLOOKUP($A212,'Institution Evaluation'!$A$56:$K$346,3,0)&amp;""</f>
        <v/>
      </c>
      <c r="G212" s="10" t="str">
        <f>VLOOKUP($A212,'Institution Evaluation'!$A$56:$K$346,7,0)&amp;""</f>
        <v>Yes</v>
      </c>
      <c r="H212" s="10" t="str">
        <f>VLOOKUP($A212,'Institution Evaluation'!$A$56:$K$346,8,0)&amp;""</f>
        <v/>
      </c>
      <c r="I212" s="10" t="str">
        <f>VLOOKUP($A212,'Institution Evaluation'!$A$56:$K$346,9,0)&amp;""</f>
        <v>Standard Importance</v>
      </c>
      <c r="J212" s="10" t="str">
        <f>VLOOKUP($A212,'Institution Evaluation'!$A$56:$K$346,10,0)&amp;""</f>
        <v/>
      </c>
      <c r="K212" s="10">
        <f t="shared" si="47"/>
        <v>10</v>
      </c>
      <c r="L212" s="114">
        <f>IF($E212="Not Scored", "N/A",IF(AND($D212='Auto Responses'!$J$27,$H212=""),"N/A",IF(AND($D212='Auto Responses'!$J$27,$H212='Auto Responses'!$J$7),1,IF(AND($D212='Auto Responses'!$J$27,$H212='Auto Responses'!$J$8),0,IF(OR($F212=$G212,$H212='Auto Responses'!$J$7),1,0)))))</f>
        <v>0</v>
      </c>
      <c r="M212" s="10" t="str">
        <f>VLOOKUP($A212,'Institution Evaluation'!$A$56:$K$346,10,0)&amp;""</f>
        <v/>
      </c>
      <c r="N212" s="10">
        <f t="shared" si="48"/>
        <v>0</v>
      </c>
      <c r="O212" s="114" t="str">
        <f t="shared" si="41"/>
        <v>N/A</v>
      </c>
      <c r="P212" s="114" t="str">
        <f t="shared" si="49"/>
        <v>N/A</v>
      </c>
      <c r="Q212" s="114">
        <f t="shared" si="42"/>
        <v>0</v>
      </c>
      <c r="R212" s="114">
        <f t="shared" si="50"/>
        <v>0</v>
      </c>
      <c r="S212" s="114">
        <f t="shared" si="43"/>
        <v>0</v>
      </c>
      <c r="T212" s="114">
        <f t="shared" si="44"/>
        <v>0</v>
      </c>
      <c r="U212" s="114">
        <f t="shared" si="51"/>
        <v>61</v>
      </c>
      <c r="V212" s="114">
        <f t="shared" si="45"/>
        <v>0</v>
      </c>
    </row>
    <row r="213" spans="1:22" ht="60">
      <c r="A213" s="10" t="str">
        <f>Questions!$A213</f>
        <v>HIPA-27</v>
      </c>
      <c r="B213" s="10" t="str">
        <f t="shared" si="46"/>
        <v>HIPA</v>
      </c>
      <c r="C213" s="10" t="str">
        <f>VLOOKUP($A213,Questions!$A$3:$L$333,2,0)&amp;""</f>
        <v>Can you provide a HIPAA compliance attestation document?</v>
      </c>
      <c r="D213" s="10" t="str">
        <f>VLOOKUP($A213,Questions!$A$3:$L$333,11,0)&amp;""</f>
        <v/>
      </c>
      <c r="E213" s="10" t="str">
        <f>VLOOKUP($A213,Questions!$A$3:$L$333,12,0)&amp;""</f>
        <v>Case-specific</v>
      </c>
      <c r="F213" s="10" t="str">
        <f>VLOOKUP($A213,'Institution Evaluation'!$A$56:$K$346,3,0)&amp;""</f>
        <v/>
      </c>
      <c r="G213" s="10" t="str">
        <f>VLOOKUP($A213,'Institution Evaluation'!$A$56:$K$346,7,0)&amp;""</f>
        <v>Yes</v>
      </c>
      <c r="H213" s="10" t="str">
        <f>VLOOKUP($A213,'Institution Evaluation'!$A$56:$K$346,8,0)&amp;""</f>
        <v/>
      </c>
      <c r="I213" s="10" t="str">
        <f>VLOOKUP($A213,'Institution Evaluation'!$A$56:$K$346,9,0)&amp;""</f>
        <v>Standard Importance</v>
      </c>
      <c r="J213" s="10" t="str">
        <f>VLOOKUP($A213,'Institution Evaluation'!$A$56:$K$346,10,0)&amp;""</f>
        <v/>
      </c>
      <c r="K213" s="10">
        <f t="shared" si="47"/>
        <v>10</v>
      </c>
      <c r="L213" s="114">
        <f>IF($E213="Not Scored", "N/A",IF(AND($D213='Auto Responses'!$J$27,$H213=""),"N/A",IF(AND($D213='Auto Responses'!$J$27,$H213='Auto Responses'!$J$7),1,IF(AND($D213='Auto Responses'!$J$27,$H213='Auto Responses'!$J$8),0,IF(OR($F213=$G213,$H213='Auto Responses'!$J$7),1,0)))))</f>
        <v>0</v>
      </c>
      <c r="M213" s="10" t="str">
        <f>VLOOKUP($A213,'Institution Evaluation'!$A$56:$K$346,10,0)&amp;""</f>
        <v/>
      </c>
      <c r="N213" s="10">
        <f t="shared" si="48"/>
        <v>0</v>
      </c>
      <c r="O213" s="114" t="str">
        <f t="shared" si="41"/>
        <v>N/A</v>
      </c>
      <c r="P213" s="114" t="str">
        <f t="shared" si="49"/>
        <v>N/A</v>
      </c>
      <c r="Q213" s="114">
        <f t="shared" si="42"/>
        <v>0</v>
      </c>
      <c r="R213" s="114">
        <f t="shared" si="50"/>
        <v>0</v>
      </c>
      <c r="S213" s="114">
        <f t="shared" si="43"/>
        <v>0</v>
      </c>
      <c r="T213" s="114">
        <f t="shared" si="44"/>
        <v>0</v>
      </c>
      <c r="U213" s="114">
        <f t="shared" si="51"/>
        <v>61</v>
      </c>
      <c r="V213" s="114">
        <f t="shared" si="45"/>
        <v>0</v>
      </c>
    </row>
    <row r="214" spans="1:22" ht="60">
      <c r="A214" s="10" t="str">
        <f>Questions!$A214</f>
        <v>HIPA-28</v>
      </c>
      <c r="B214" s="10" t="str">
        <f t="shared" si="46"/>
        <v>HIPA</v>
      </c>
      <c r="C214" s="10" t="str">
        <f>VLOOKUP($A214,Questions!$A$3:$L$333,2,0)&amp;""</f>
        <v>Are you willing to enter into a Business Associate Agreement (BAA)?</v>
      </c>
      <c r="D214" s="10" t="str">
        <f>VLOOKUP($A214,Questions!$A$3:$L$333,11,0)&amp;""</f>
        <v/>
      </c>
      <c r="E214" s="10" t="str">
        <f>VLOOKUP($A214,Questions!$A$3:$L$333,12,0)&amp;""</f>
        <v>Case-specific</v>
      </c>
      <c r="F214" s="10" t="str">
        <f>VLOOKUP($A214,'Institution Evaluation'!$A$56:$K$346,3,0)&amp;""</f>
        <v/>
      </c>
      <c r="G214" s="10" t="str">
        <f>VLOOKUP($A214,'Institution Evaluation'!$A$56:$K$346,7,0)&amp;""</f>
        <v>Yes</v>
      </c>
      <c r="H214" s="10" t="str">
        <f>VLOOKUP($A214,'Institution Evaluation'!$A$56:$K$346,8,0)&amp;""</f>
        <v/>
      </c>
      <c r="I214" s="10" t="str">
        <f>VLOOKUP($A214,'Institution Evaluation'!$A$56:$K$346,9,0)&amp;""</f>
        <v>Standard Importance</v>
      </c>
      <c r="J214" s="10" t="str">
        <f>VLOOKUP($A214,'Institution Evaluation'!$A$56:$K$346,10,0)&amp;""</f>
        <v/>
      </c>
      <c r="K214" s="10">
        <f t="shared" si="47"/>
        <v>10</v>
      </c>
      <c r="L214" s="114">
        <f>IF($E214="Not Scored", "N/A",IF(AND($D214='Auto Responses'!$J$27,$H214=""),"N/A",IF(AND($D214='Auto Responses'!$J$27,$H214='Auto Responses'!$J$7),1,IF(AND($D214='Auto Responses'!$J$27,$H214='Auto Responses'!$J$8),0,IF(OR($F214=$G214,$H214='Auto Responses'!$J$7),1,0)))))</f>
        <v>0</v>
      </c>
      <c r="M214" s="10" t="str">
        <f>VLOOKUP($A214,'Institution Evaluation'!$A$56:$K$346,10,0)&amp;""</f>
        <v/>
      </c>
      <c r="N214" s="10">
        <f t="shared" si="48"/>
        <v>0</v>
      </c>
      <c r="O214" s="114" t="str">
        <f t="shared" si="41"/>
        <v>N/A</v>
      </c>
      <c r="P214" s="114" t="str">
        <f t="shared" si="49"/>
        <v>N/A</v>
      </c>
      <c r="Q214" s="114">
        <f t="shared" si="42"/>
        <v>0</v>
      </c>
      <c r="R214" s="114">
        <f t="shared" si="50"/>
        <v>0</v>
      </c>
      <c r="S214" s="114">
        <f t="shared" si="43"/>
        <v>0</v>
      </c>
      <c r="T214" s="114">
        <f t="shared" si="44"/>
        <v>0</v>
      </c>
      <c r="U214" s="114">
        <f t="shared" si="51"/>
        <v>61</v>
      </c>
      <c r="V214" s="114">
        <f t="shared" si="45"/>
        <v>0</v>
      </c>
    </row>
    <row r="215" spans="1:22" ht="60">
      <c r="A215" s="10" t="str">
        <f>Questions!$A215</f>
        <v>HIPA-29</v>
      </c>
      <c r="B215" s="10" t="str">
        <f t="shared" si="46"/>
        <v>HIPA</v>
      </c>
      <c r="C215" s="10" t="str">
        <f>VLOOKUP($A215,Questions!$A$3:$L$333,2,0)&amp;""</f>
        <v>Do your data backup and retention policies and practices meet HIPAA requirements?</v>
      </c>
      <c r="D215" s="10" t="str">
        <f>VLOOKUP($A215,Questions!$A$3:$L$333,11,0)&amp;""</f>
        <v/>
      </c>
      <c r="E215" s="10" t="str">
        <f>VLOOKUP($A215,Questions!$A$3:$L$333,12,0)&amp;""</f>
        <v>Case-specific</v>
      </c>
      <c r="F215" s="10" t="str">
        <f>VLOOKUP($A215,'Institution Evaluation'!$A$56:$K$346,3,0)&amp;""</f>
        <v/>
      </c>
      <c r="G215" s="10" t="str">
        <f>VLOOKUP($A215,'Institution Evaluation'!$A$56:$K$346,7,0)&amp;""</f>
        <v>Yes</v>
      </c>
      <c r="H215" s="10" t="str">
        <f>VLOOKUP($A215,'Institution Evaluation'!$A$56:$K$346,8,0)&amp;""</f>
        <v/>
      </c>
      <c r="I215" s="10" t="str">
        <f>VLOOKUP($A215,'Institution Evaluation'!$A$56:$K$346,9,0)&amp;""</f>
        <v>Minor Importance</v>
      </c>
      <c r="J215" s="10" t="str">
        <f>VLOOKUP($A215,'Institution Evaluation'!$A$56:$K$346,10,0)&amp;""</f>
        <v/>
      </c>
      <c r="K215" s="10">
        <f t="shared" si="47"/>
        <v>5</v>
      </c>
      <c r="L215" s="114">
        <f>IF($E215="Not Scored", "N/A",IF(AND($D215='Auto Responses'!$J$27,$H215=""),"N/A",IF(AND($D215='Auto Responses'!$J$27,$H215='Auto Responses'!$J$7),1,IF(AND($D215='Auto Responses'!$J$27,$H215='Auto Responses'!$J$8),0,IF(OR($F215=$G215,$H215='Auto Responses'!$J$7),1,0)))))</f>
        <v>0</v>
      </c>
      <c r="M215" s="10" t="str">
        <f>VLOOKUP($A215,'Institution Evaluation'!$A$56:$K$346,10,0)&amp;""</f>
        <v/>
      </c>
      <c r="N215" s="10">
        <f t="shared" si="48"/>
        <v>0</v>
      </c>
      <c r="O215" s="114" t="str">
        <f t="shared" si="41"/>
        <v>N/A</v>
      </c>
      <c r="P215" s="114" t="str">
        <f t="shared" si="49"/>
        <v>N/A</v>
      </c>
      <c r="Q215" s="114">
        <f t="shared" si="42"/>
        <v>0</v>
      </c>
      <c r="R215" s="114">
        <f t="shared" si="50"/>
        <v>0</v>
      </c>
      <c r="S215" s="114">
        <f t="shared" si="43"/>
        <v>0</v>
      </c>
      <c r="T215" s="114">
        <f t="shared" si="44"/>
        <v>0</v>
      </c>
      <c r="U215" s="114">
        <f t="shared" si="51"/>
        <v>61</v>
      </c>
      <c r="V215" s="114">
        <f t="shared" si="45"/>
        <v>0</v>
      </c>
    </row>
    <row r="216" spans="1:22" ht="60">
      <c r="A216" s="10" t="str">
        <f>Questions!$A216</f>
        <v>PCID-01</v>
      </c>
      <c r="B216" s="10" t="str">
        <f t="shared" si="46"/>
        <v>PCID</v>
      </c>
      <c r="C216" s="10" t="str">
        <f>VLOOKUP($A216,Questions!$A$3:$L$333,2,0)&amp;""</f>
        <v>Do you have a current, executed within the past year, Attestation of Compliance (AoC) or Report on Compliance (RoC)?*</v>
      </c>
      <c r="D216" s="10" t="str">
        <f>VLOOKUP($A216,Questions!$A$3:$L$333,11,0)&amp;""</f>
        <v/>
      </c>
      <c r="E216" s="10" t="str">
        <f>VLOOKUP($A216,Questions!$A$3:$L$333,12,0)&amp;""</f>
        <v>Case-Specific</v>
      </c>
      <c r="F216" s="10" t="str">
        <f>VLOOKUP($A216,'Institution Evaluation'!$A$56:$K$346,3,0)&amp;""</f>
        <v/>
      </c>
      <c r="G216" s="10" t="str">
        <f>VLOOKUP($A216,'Institution Evaluation'!$A$56:$K$346,7,0)&amp;""</f>
        <v>Yes</v>
      </c>
      <c r="H216" s="10" t="str">
        <f>VLOOKUP($A216,'Institution Evaluation'!$A$56:$K$346,8,0)&amp;""</f>
        <v/>
      </c>
      <c r="I216" s="10" t="str">
        <f>VLOOKUP($A216,'Institution Evaluation'!$A$56:$K$346,9,0)&amp;""</f>
        <v>Critical Importance</v>
      </c>
      <c r="J216" s="10" t="str">
        <f>VLOOKUP($A216,'Institution Evaluation'!$A$56:$K$346,10,0)&amp;""</f>
        <v/>
      </c>
      <c r="K216" s="10">
        <f t="shared" si="47"/>
        <v>20</v>
      </c>
      <c r="L216" s="114">
        <f>IF($E216="Not Scored", "N/A",IF(AND($D216='Auto Responses'!$J$27,$H216=""),"N/A",IF(AND($D216='Auto Responses'!$J$27,$H216='Auto Responses'!$J$7),1,IF(AND($D216='Auto Responses'!$J$27,$H216='Auto Responses'!$J$8),0,IF(OR($F216=$G216,$H216='Auto Responses'!$J$7),1,0)))))</f>
        <v>0</v>
      </c>
      <c r="M216" s="10" t="str">
        <f>VLOOKUP($A216,'Institution Evaluation'!$A$56:$K$346,10,0)&amp;""</f>
        <v/>
      </c>
      <c r="N216" s="10">
        <f t="shared" si="48"/>
        <v>1</v>
      </c>
      <c r="O216" s="114" t="str">
        <f>IF(OR($F$22="No",$E216="Not Scored"),"N/A",IF($J216="",$K216,IF($J216="Minor Importance",5,IF($J216="Standard Importance",10,IF($J216="Critical Importance",20,0)))))</f>
        <v>N/A</v>
      </c>
      <c r="P216" s="114" t="str">
        <f t="shared" si="49"/>
        <v>N/A</v>
      </c>
      <c r="Q216" s="114">
        <f t="shared" si="42"/>
        <v>0</v>
      </c>
      <c r="R216" s="114">
        <f t="shared" si="50"/>
        <v>0</v>
      </c>
      <c r="S216" s="114">
        <f t="shared" si="43"/>
        <v>0</v>
      </c>
      <c r="T216" s="114">
        <f t="shared" si="44"/>
        <v>1</v>
      </c>
      <c r="U216" s="114">
        <f t="shared" si="51"/>
        <v>62</v>
      </c>
      <c r="V216" s="114">
        <f t="shared" si="45"/>
        <v>62</v>
      </c>
    </row>
    <row r="217" spans="1:22" ht="60">
      <c r="A217" s="10" t="str">
        <f>Questions!$A217</f>
        <v>PCID-02</v>
      </c>
      <c r="B217" s="10" t="str">
        <f t="shared" si="46"/>
        <v>PCID</v>
      </c>
      <c r="C217" s="10" t="str">
        <f>VLOOKUP($A217,Questions!$A$3:$L$333,2,0)&amp;""</f>
        <v>Is the application listed as an approved Payment Application Data Security Standard (PA-DSS) application?*</v>
      </c>
      <c r="D217" s="10" t="str">
        <f>VLOOKUP($A217,Questions!$A$3:$L$333,11,0)&amp;""</f>
        <v/>
      </c>
      <c r="E217" s="10" t="str">
        <f>VLOOKUP($A217,Questions!$A$3:$L$333,12,0)&amp;""</f>
        <v>Case-Specific</v>
      </c>
      <c r="F217" s="10" t="str">
        <f>VLOOKUP($A217,'Institution Evaluation'!$A$56:$K$346,3,0)&amp;""</f>
        <v/>
      </c>
      <c r="G217" s="10" t="str">
        <f>VLOOKUP($A217,'Institution Evaluation'!$A$56:$K$346,7,0)&amp;""</f>
        <v>No</v>
      </c>
      <c r="H217" s="10" t="str">
        <f>VLOOKUP($A217,'Institution Evaluation'!$A$56:$K$346,8,0)&amp;""</f>
        <v/>
      </c>
      <c r="I217" s="10" t="str">
        <f>VLOOKUP($A217,'Institution Evaluation'!$A$56:$K$346,9,0)&amp;""</f>
        <v>Critical Importance</v>
      </c>
      <c r="J217" s="10" t="str">
        <f>VLOOKUP($A217,'Institution Evaluation'!$A$56:$K$346,10,0)&amp;""</f>
        <v/>
      </c>
      <c r="K217" s="10">
        <f t="shared" si="47"/>
        <v>20</v>
      </c>
      <c r="L217" s="114">
        <f>IF($E217="Not Scored", "N/A",IF(AND($D217='Auto Responses'!$J$27,$H217=""),"N/A",IF(AND($D217='Auto Responses'!$J$27,$H217='Auto Responses'!$J$7),1,IF(AND($D217='Auto Responses'!$J$27,$H217='Auto Responses'!$J$8),0,IF(OR($F217=$G217,$H217='Auto Responses'!$J$7),1,0)))))</f>
        <v>0</v>
      </c>
      <c r="M217" s="10" t="str">
        <f>VLOOKUP($A217,'Institution Evaluation'!$A$56:$K$346,10,0)&amp;""</f>
        <v/>
      </c>
      <c r="N217" s="10">
        <f t="shared" si="48"/>
        <v>1</v>
      </c>
      <c r="O217" s="114" t="str">
        <f t="shared" ref="O217:O227" si="52">IF(OR($F$22="No",$E217="Not Scored"),"N/A",IF($J217="",$K217,IF($J217="Minor Importance",5,IF($J217="Standard Importance",10,IF($J217="Critical Importance",20,0)))))</f>
        <v>N/A</v>
      </c>
      <c r="P217" s="114" t="str">
        <f t="shared" si="49"/>
        <v>N/A</v>
      </c>
      <c r="Q217" s="114">
        <f t="shared" si="42"/>
        <v>0</v>
      </c>
      <c r="R217" s="114">
        <f t="shared" si="50"/>
        <v>0</v>
      </c>
      <c r="S217" s="114">
        <f t="shared" si="43"/>
        <v>0</v>
      </c>
      <c r="T217" s="114">
        <f t="shared" si="44"/>
        <v>1</v>
      </c>
      <c r="U217" s="114">
        <f t="shared" si="51"/>
        <v>63</v>
      </c>
      <c r="V217" s="114">
        <f t="shared" si="45"/>
        <v>63</v>
      </c>
    </row>
    <row r="218" spans="1:22" ht="60">
      <c r="A218" s="10" t="str">
        <f>Questions!$A218</f>
        <v>PCID-03</v>
      </c>
      <c r="B218" s="10" t="str">
        <f t="shared" si="46"/>
        <v>PCID</v>
      </c>
      <c r="C218" s="10" t="str">
        <f>VLOOKUP($A218,Questions!$A$3:$L$333,2,0)&amp;""</f>
        <v>Does the system or solutions use a third party to collect, store, process, or transmit cardholder (payment/credit/debt card) data?*</v>
      </c>
      <c r="D218" s="10" t="str">
        <f>VLOOKUP($A218,Questions!$A$3:$L$333,11,0)&amp;""</f>
        <v/>
      </c>
      <c r="E218" s="10" t="str">
        <f>VLOOKUP($A218,Questions!$A$3:$L$333,12,0)&amp;""</f>
        <v>Case-Specific</v>
      </c>
      <c r="F218" s="10" t="str">
        <f>VLOOKUP($A218,'Institution Evaluation'!$A$56:$K$346,3,0)&amp;""</f>
        <v/>
      </c>
      <c r="G218" s="10" t="str">
        <f>VLOOKUP($A218,'Institution Evaluation'!$A$56:$K$346,7,0)&amp;""</f>
        <v>No</v>
      </c>
      <c r="H218" s="10" t="str">
        <f>VLOOKUP($A218,'Institution Evaluation'!$A$56:$K$346,8,0)&amp;""</f>
        <v/>
      </c>
      <c r="I218" s="10" t="str">
        <f>VLOOKUP($A218,'Institution Evaluation'!$A$56:$K$346,9,0)&amp;""</f>
        <v>Critical Importance</v>
      </c>
      <c r="J218" s="10" t="str">
        <f>VLOOKUP($A218,'Institution Evaluation'!$A$56:$K$346,10,0)&amp;""</f>
        <v/>
      </c>
      <c r="K218" s="10">
        <f t="shared" si="47"/>
        <v>20</v>
      </c>
      <c r="L218" s="114">
        <f>IF($E218="Not Scored", "N/A",IF(AND($D218='Auto Responses'!$J$27,$H218=""),"N/A",IF(AND($D218='Auto Responses'!$J$27,$H218='Auto Responses'!$J$7),1,IF(AND($D218='Auto Responses'!$J$27,$H218='Auto Responses'!$J$8),0,IF(OR($F218=$G218,$H218='Auto Responses'!$J$7),1,0)))))</f>
        <v>0</v>
      </c>
      <c r="M218" s="10" t="str">
        <f>VLOOKUP($A218,'Institution Evaluation'!$A$56:$K$346,10,0)&amp;""</f>
        <v/>
      </c>
      <c r="N218" s="10">
        <f t="shared" si="48"/>
        <v>1</v>
      </c>
      <c r="O218" s="114" t="str">
        <f t="shared" si="52"/>
        <v>N/A</v>
      </c>
      <c r="P218" s="114" t="str">
        <f t="shared" si="49"/>
        <v>N/A</v>
      </c>
      <c r="Q218" s="114">
        <f t="shared" si="42"/>
        <v>0</v>
      </c>
      <c r="R218" s="114">
        <f t="shared" si="50"/>
        <v>0</v>
      </c>
      <c r="S218" s="114">
        <f t="shared" si="43"/>
        <v>0</v>
      </c>
      <c r="T218" s="114">
        <f t="shared" si="44"/>
        <v>1</v>
      </c>
      <c r="U218" s="114">
        <f t="shared" si="51"/>
        <v>64</v>
      </c>
      <c r="V218" s="114">
        <f t="shared" si="45"/>
        <v>64</v>
      </c>
    </row>
    <row r="219" spans="1:22" ht="60">
      <c r="A219" s="10" t="str">
        <f>Questions!$A219</f>
        <v>PCID-04</v>
      </c>
      <c r="B219" s="10" t="str">
        <f t="shared" si="46"/>
        <v>PCID</v>
      </c>
      <c r="C219" s="10" t="str">
        <f>VLOOKUP($A219,Questions!$A$3:$L$333,2,0)&amp;""</f>
        <v>Do your systems or solutions store, process, or transmit cardholder (payment/credit/debt card) data?</v>
      </c>
      <c r="D219" s="10" t="str">
        <f>VLOOKUP($A219,Questions!$A$3:$L$333,11,0)&amp;""</f>
        <v/>
      </c>
      <c r="E219" s="10" t="str">
        <f>VLOOKUP($A219,Questions!$A$3:$L$333,12,0)&amp;""</f>
        <v>Case-Specific</v>
      </c>
      <c r="F219" s="10" t="str">
        <f>VLOOKUP($A219,'Institution Evaluation'!$A$56:$K$346,3,0)&amp;""</f>
        <v/>
      </c>
      <c r="G219" s="10" t="str">
        <f>VLOOKUP($A219,'Institution Evaluation'!$A$56:$K$346,7,0)&amp;""</f>
        <v>Yes</v>
      </c>
      <c r="H219" s="10" t="str">
        <f>VLOOKUP($A219,'Institution Evaluation'!$A$56:$K$346,8,0)&amp;""</f>
        <v/>
      </c>
      <c r="I219" s="10" t="str">
        <f>VLOOKUP($A219,'Institution Evaluation'!$A$56:$K$346,9,0)&amp;""</f>
        <v>Standard Importance</v>
      </c>
      <c r="J219" s="10" t="str">
        <f>VLOOKUP($A219,'Institution Evaluation'!$A$56:$K$346,10,0)&amp;""</f>
        <v/>
      </c>
      <c r="K219" s="10">
        <f t="shared" si="47"/>
        <v>10</v>
      </c>
      <c r="L219" s="114">
        <f>IF($E219="Not Scored", "N/A",IF(AND($D219='Auto Responses'!$J$27,$H219=""),"N/A",IF(AND($D219='Auto Responses'!$J$27,$H219='Auto Responses'!$J$7),1,IF(AND($D219='Auto Responses'!$J$27,$H219='Auto Responses'!$J$8),0,IF(OR($F219=$G219,$H219='Auto Responses'!$J$7),1,0)))))</f>
        <v>0</v>
      </c>
      <c r="M219" s="10" t="str">
        <f>VLOOKUP($A219,'Institution Evaluation'!$A$56:$K$346,10,0)&amp;""</f>
        <v/>
      </c>
      <c r="N219" s="10">
        <f t="shared" si="48"/>
        <v>0</v>
      </c>
      <c r="O219" s="114" t="str">
        <f t="shared" si="52"/>
        <v>N/A</v>
      </c>
      <c r="P219" s="114" t="str">
        <f t="shared" si="49"/>
        <v>N/A</v>
      </c>
      <c r="Q219" s="114">
        <f t="shared" si="42"/>
        <v>0</v>
      </c>
      <c r="R219" s="114">
        <f t="shared" si="50"/>
        <v>0</v>
      </c>
      <c r="S219" s="114">
        <f t="shared" si="43"/>
        <v>0</v>
      </c>
      <c r="T219" s="114">
        <f t="shared" si="44"/>
        <v>0</v>
      </c>
      <c r="U219" s="114">
        <f t="shared" si="51"/>
        <v>64</v>
      </c>
      <c r="V219" s="114">
        <f t="shared" si="45"/>
        <v>0</v>
      </c>
    </row>
    <row r="220" spans="1:22" ht="60">
      <c r="A220" s="10" t="str">
        <f>Questions!$A220</f>
        <v>PCID-05</v>
      </c>
      <c r="B220" s="10" t="str">
        <f t="shared" si="46"/>
        <v>PCID</v>
      </c>
      <c r="C220" s="10" t="str">
        <f>VLOOKUP($A220,Questions!$A$3:$L$333,2,0)&amp;""</f>
        <v>Are you compliant with the Payment Card Industry Data Security Standard (PCI DSS)?</v>
      </c>
      <c r="D220" s="10" t="str">
        <f>VLOOKUP($A220,Questions!$A$3:$L$333,11,0)&amp;""</f>
        <v/>
      </c>
      <c r="E220" s="10" t="str">
        <f>VLOOKUP($A220,Questions!$A$3:$L$333,12,0)&amp;""</f>
        <v>Case-Specific</v>
      </c>
      <c r="F220" s="10" t="str">
        <f>VLOOKUP($A220,'Institution Evaluation'!$A$56:$K$346,3,0)&amp;""</f>
        <v/>
      </c>
      <c r="G220" s="10" t="str">
        <f>VLOOKUP($A220,'Institution Evaluation'!$A$56:$K$346,7,0)&amp;""</f>
        <v>Yes</v>
      </c>
      <c r="H220" s="10" t="str">
        <f>VLOOKUP($A220,'Institution Evaluation'!$A$56:$K$346,8,0)&amp;""</f>
        <v/>
      </c>
      <c r="I220" s="10" t="str">
        <f>VLOOKUP($A220,'Institution Evaluation'!$A$56:$K$346,9,0)&amp;""</f>
        <v>Standard Importance</v>
      </c>
      <c r="J220" s="10" t="str">
        <f>VLOOKUP($A220,'Institution Evaluation'!$A$56:$K$346,10,0)&amp;""</f>
        <v/>
      </c>
      <c r="K220" s="10">
        <f t="shared" si="47"/>
        <v>10</v>
      </c>
      <c r="L220" s="114">
        <f>IF($E220="Not Scored", "N/A",IF(AND($D220='Auto Responses'!$J$27,$H220=""),"N/A",IF(AND($D220='Auto Responses'!$J$27,$H220='Auto Responses'!$J$7),1,IF(AND($D220='Auto Responses'!$J$27,$H220='Auto Responses'!$J$8),0,IF(OR($F220=$G220,$H220='Auto Responses'!$J$7),1,0)))))</f>
        <v>0</v>
      </c>
      <c r="M220" s="10" t="str">
        <f>VLOOKUP($A220,'Institution Evaluation'!$A$56:$K$346,10,0)&amp;""</f>
        <v/>
      </c>
      <c r="N220" s="10">
        <f t="shared" si="48"/>
        <v>0</v>
      </c>
      <c r="O220" s="114" t="str">
        <f t="shared" si="52"/>
        <v>N/A</v>
      </c>
      <c r="P220" s="114" t="str">
        <f t="shared" si="49"/>
        <v>N/A</v>
      </c>
      <c r="Q220" s="114">
        <f t="shared" si="42"/>
        <v>0</v>
      </c>
      <c r="R220" s="114">
        <f t="shared" si="50"/>
        <v>0</v>
      </c>
      <c r="S220" s="114">
        <f t="shared" si="43"/>
        <v>0</v>
      </c>
      <c r="T220" s="114">
        <f t="shared" si="44"/>
        <v>0</v>
      </c>
      <c r="U220" s="114">
        <f t="shared" si="51"/>
        <v>64</v>
      </c>
      <c r="V220" s="114">
        <f t="shared" si="45"/>
        <v>0</v>
      </c>
    </row>
    <row r="221" spans="1:22" ht="60">
      <c r="A221" s="10" t="str">
        <f>Questions!$A221</f>
        <v>PCID-06</v>
      </c>
      <c r="B221" s="10" t="str">
        <f t="shared" si="46"/>
        <v>PCID</v>
      </c>
      <c r="C221" s="10" t="str">
        <f>VLOOKUP($A221,Questions!$A$3:$L$333,2,0)&amp;""</f>
        <v>Are you classified as a service provider?</v>
      </c>
      <c r="D221" s="10" t="str">
        <f>VLOOKUP($A221,Questions!$A$3:$L$333,11,0)&amp;""</f>
        <v/>
      </c>
      <c r="E221" s="10" t="str">
        <f>VLOOKUP($A221,Questions!$A$3:$L$333,12,0)&amp;""</f>
        <v>Case-Specific</v>
      </c>
      <c r="F221" s="10" t="str">
        <f>VLOOKUP($A221,'Institution Evaluation'!$A$56:$K$346,3,0)&amp;""</f>
        <v/>
      </c>
      <c r="G221" s="10" t="str">
        <f>VLOOKUP($A221,'Institution Evaluation'!$A$56:$K$346,7,0)&amp;""</f>
        <v>Yes</v>
      </c>
      <c r="H221" s="10" t="str">
        <f>VLOOKUP($A221,'Institution Evaluation'!$A$56:$K$346,8,0)&amp;""</f>
        <v/>
      </c>
      <c r="I221" s="10" t="str">
        <f>VLOOKUP($A221,'Institution Evaluation'!$A$56:$K$346,9,0)&amp;""</f>
        <v>Standard Importance</v>
      </c>
      <c r="J221" s="10" t="str">
        <f>VLOOKUP($A221,'Institution Evaluation'!$A$56:$K$346,10,0)&amp;""</f>
        <v/>
      </c>
      <c r="K221" s="10">
        <f t="shared" si="47"/>
        <v>10</v>
      </c>
      <c r="L221" s="114">
        <f>IF($E221="Not Scored", "N/A",IF(AND($D221='Auto Responses'!$J$27,$H221=""),"N/A",IF(AND($D221='Auto Responses'!$J$27,$H221='Auto Responses'!$J$7),1,IF(AND($D221='Auto Responses'!$J$27,$H221='Auto Responses'!$J$8),0,IF(OR($F221=$G221,$H221='Auto Responses'!$J$7),1,0)))))</f>
        <v>0</v>
      </c>
      <c r="M221" s="10" t="str">
        <f>VLOOKUP($A221,'Institution Evaluation'!$A$56:$K$346,10,0)&amp;""</f>
        <v/>
      </c>
      <c r="N221" s="10">
        <f t="shared" si="48"/>
        <v>0</v>
      </c>
      <c r="O221" s="114" t="str">
        <f t="shared" si="52"/>
        <v>N/A</v>
      </c>
      <c r="P221" s="114" t="str">
        <f t="shared" si="49"/>
        <v>N/A</v>
      </c>
      <c r="Q221" s="114">
        <f t="shared" si="42"/>
        <v>0</v>
      </c>
      <c r="R221" s="114">
        <f t="shared" si="50"/>
        <v>0</v>
      </c>
      <c r="S221" s="114">
        <f t="shared" si="43"/>
        <v>0</v>
      </c>
      <c r="T221" s="114">
        <f t="shared" si="44"/>
        <v>0</v>
      </c>
      <c r="U221" s="114">
        <f t="shared" si="51"/>
        <v>64</v>
      </c>
      <c r="V221" s="114">
        <f t="shared" si="45"/>
        <v>0</v>
      </c>
    </row>
    <row r="222" spans="1:22" ht="60">
      <c r="A222" s="10" t="str">
        <f>Questions!$A222</f>
        <v>PCID-07</v>
      </c>
      <c r="B222" s="10" t="str">
        <f t="shared" si="46"/>
        <v>PCID</v>
      </c>
      <c r="C222" s="10" t="str">
        <f>VLOOKUP($A222,Questions!$A$3:$L$333,2,0)&amp;""</f>
        <v>Are you on the list of Visa approved service providers?</v>
      </c>
      <c r="D222" s="10" t="str">
        <f>VLOOKUP($A222,Questions!$A$3:$L$333,11,0)&amp;""</f>
        <v/>
      </c>
      <c r="E222" s="10" t="str">
        <f>VLOOKUP($A222,Questions!$A$3:$L$333,12,0)&amp;""</f>
        <v>Case-Specific</v>
      </c>
      <c r="F222" s="10" t="str">
        <f>VLOOKUP($A222,'Institution Evaluation'!$A$56:$K$346,3,0)&amp;""</f>
        <v/>
      </c>
      <c r="G222" s="10" t="str">
        <f>VLOOKUP($A222,'Institution Evaluation'!$A$56:$K$346,7,0)&amp;""</f>
        <v>Yes</v>
      </c>
      <c r="H222" s="10" t="str">
        <f>VLOOKUP($A222,'Institution Evaluation'!$A$56:$K$346,8,0)&amp;""</f>
        <v/>
      </c>
      <c r="I222" s="10" t="str">
        <f>VLOOKUP($A222,'Institution Evaluation'!$A$56:$K$346,9,0)&amp;""</f>
        <v>Standard Importance</v>
      </c>
      <c r="J222" s="10" t="str">
        <f>VLOOKUP($A222,'Institution Evaluation'!$A$56:$K$346,10,0)&amp;""</f>
        <v/>
      </c>
      <c r="K222" s="10">
        <f t="shared" si="47"/>
        <v>10</v>
      </c>
      <c r="L222" s="114">
        <f>IF($E222="Not Scored", "N/A",IF(AND($D222='Auto Responses'!$J$27,$H222=""),"N/A",IF(AND($D222='Auto Responses'!$J$27,$H222='Auto Responses'!$J$7),1,IF(AND($D222='Auto Responses'!$J$27,$H222='Auto Responses'!$J$8),0,IF(OR($F222=$G222,$H222='Auto Responses'!$J$7),1,0)))))</f>
        <v>0</v>
      </c>
      <c r="M222" s="10" t="str">
        <f>VLOOKUP($A222,'Institution Evaluation'!$A$56:$K$346,10,0)&amp;""</f>
        <v/>
      </c>
      <c r="N222" s="10">
        <f t="shared" si="48"/>
        <v>0</v>
      </c>
      <c r="O222" s="114" t="str">
        <f t="shared" si="52"/>
        <v>N/A</v>
      </c>
      <c r="P222" s="114" t="str">
        <f t="shared" si="49"/>
        <v>N/A</v>
      </c>
      <c r="Q222" s="114">
        <f t="shared" si="42"/>
        <v>0</v>
      </c>
      <c r="R222" s="114">
        <f t="shared" si="50"/>
        <v>0</v>
      </c>
      <c r="S222" s="114">
        <f t="shared" si="43"/>
        <v>0</v>
      </c>
      <c r="T222" s="114">
        <f t="shared" si="44"/>
        <v>0</v>
      </c>
      <c r="U222" s="114">
        <f t="shared" si="51"/>
        <v>64</v>
      </c>
      <c r="V222" s="114">
        <f t="shared" si="45"/>
        <v>0</v>
      </c>
    </row>
    <row r="223" spans="1:22" ht="60">
      <c r="A223" s="10" t="str">
        <f>Questions!$A223</f>
        <v>PCID-08</v>
      </c>
      <c r="B223" s="10" t="str">
        <f t="shared" si="46"/>
        <v>PCID</v>
      </c>
      <c r="C223" s="10" t="str">
        <f>VLOOKUP($A223,Questions!$A$3:$L$333,2,0)&amp;""</f>
        <v>Are you classified as a merchant? If so, what level (1, 2, 3, 4)?</v>
      </c>
      <c r="D223" s="10" t="str">
        <f>VLOOKUP($A223,Questions!$A$3:$L$333,11,0)&amp;""</f>
        <v/>
      </c>
      <c r="E223" s="10" t="str">
        <f>VLOOKUP($A223,Questions!$A$3:$L$333,12,0)&amp;""</f>
        <v>Case-Specific</v>
      </c>
      <c r="F223" s="10" t="str">
        <f>VLOOKUP($A223,'Institution Evaluation'!$A$56:$K$346,3,0)&amp;""</f>
        <v/>
      </c>
      <c r="G223" s="10" t="str">
        <f>VLOOKUP($A223,'Institution Evaluation'!$A$56:$K$346,7,0)&amp;""</f>
        <v>Yes</v>
      </c>
      <c r="H223" s="10" t="str">
        <f>VLOOKUP($A223,'Institution Evaluation'!$A$56:$K$346,8,0)&amp;""</f>
        <v/>
      </c>
      <c r="I223" s="10" t="str">
        <f>VLOOKUP($A223,'Institution Evaluation'!$A$56:$K$346,9,0)&amp;""</f>
        <v>Standard Importance</v>
      </c>
      <c r="J223" s="10" t="str">
        <f>VLOOKUP($A223,'Institution Evaluation'!$A$56:$K$346,10,0)&amp;""</f>
        <v/>
      </c>
      <c r="K223" s="10">
        <f t="shared" si="47"/>
        <v>10</v>
      </c>
      <c r="L223" s="114">
        <f>IF($E223="Not Scored", "N/A",IF(AND($D223='Auto Responses'!$J$27,$H223=""),"N/A",IF(AND($D223='Auto Responses'!$J$27,$H223='Auto Responses'!$J$7),1,IF(AND($D223='Auto Responses'!$J$27,$H223='Auto Responses'!$J$8),0,IF(OR($F223=$G223,$H223='Auto Responses'!$J$7),1,0)))))</f>
        <v>0</v>
      </c>
      <c r="M223" s="10" t="str">
        <f>VLOOKUP($A223,'Institution Evaluation'!$A$56:$K$346,10,0)&amp;""</f>
        <v/>
      </c>
      <c r="N223" s="10">
        <f t="shared" si="48"/>
        <v>0</v>
      </c>
      <c r="O223" s="114" t="str">
        <f t="shared" si="52"/>
        <v>N/A</v>
      </c>
      <c r="P223" s="114" t="str">
        <f t="shared" si="49"/>
        <v>N/A</v>
      </c>
      <c r="Q223" s="114">
        <f t="shared" si="42"/>
        <v>0</v>
      </c>
      <c r="R223" s="114">
        <f t="shared" si="50"/>
        <v>0</v>
      </c>
      <c r="S223" s="114">
        <f t="shared" si="43"/>
        <v>0</v>
      </c>
      <c r="T223" s="114">
        <f t="shared" si="44"/>
        <v>0</v>
      </c>
      <c r="U223" s="114">
        <f t="shared" si="51"/>
        <v>64</v>
      </c>
      <c r="V223" s="114">
        <f t="shared" si="45"/>
        <v>0</v>
      </c>
    </row>
    <row r="224" spans="1:22" ht="60">
      <c r="A224" s="10" t="str">
        <f>Questions!$A224</f>
        <v>PCID-09</v>
      </c>
      <c r="B224" s="10" t="str">
        <f t="shared" si="46"/>
        <v>PCID</v>
      </c>
      <c r="C224" s="10" t="str">
        <f>VLOOKUP($A224,Questions!$A$3:$L$333,2,0)&amp;""</f>
        <v>Describe the architecture employed by the system to verify and authorize credit card transactions.</v>
      </c>
      <c r="D224" s="10" t="str">
        <f>VLOOKUP($A224,Questions!$A$3:$L$333,11,0)&amp;""</f>
        <v/>
      </c>
      <c r="E224" s="10" t="str">
        <f>VLOOKUP($A224,Questions!$A$3:$L$333,12,0)&amp;""</f>
        <v>Not scored</v>
      </c>
      <c r="F224" s="10" t="str">
        <f>VLOOKUP($A224,'Institution Evaluation'!$A$56:$K$346,3,0)&amp;""</f>
        <v/>
      </c>
      <c r="G224" s="10" t="str">
        <f>VLOOKUP($A224,'Institution Evaluation'!$A$56:$K$346,7,0)&amp;""</f>
        <v>Not scored</v>
      </c>
      <c r="H224" s="10" t="str">
        <f>VLOOKUP($A224,'Institution Evaluation'!$A$56:$K$346,8,0)&amp;""</f>
        <v/>
      </c>
      <c r="I224" s="10" t="str">
        <f>VLOOKUP($A224,'Institution Evaluation'!$A$56:$K$346,9,0)&amp;""</f>
        <v>Minor Importance</v>
      </c>
      <c r="J224" s="10" t="str">
        <f>VLOOKUP($A224,'Institution Evaluation'!$A$56:$K$346,10,0)&amp;""</f>
        <v/>
      </c>
      <c r="K224" s="10">
        <f t="shared" si="47"/>
        <v>5</v>
      </c>
      <c r="L224" s="114" t="str">
        <f>IF($E224="Not Scored", "N/A",IF(AND($D224='Auto Responses'!$J$27,$H224=""),"N/A",IF(AND($D224='Auto Responses'!$J$27,$H224='Auto Responses'!$J$7),1,IF(AND($D224='Auto Responses'!$J$27,$H224='Auto Responses'!$J$8),0,IF(OR($F224=$G224,$H224='Auto Responses'!$J$7),1,0)))))</f>
        <v>N/A</v>
      </c>
      <c r="M224" s="10" t="str">
        <f>VLOOKUP($A224,'Institution Evaluation'!$A$56:$K$346,10,0)&amp;""</f>
        <v/>
      </c>
      <c r="N224" s="10">
        <f t="shared" si="48"/>
        <v>0</v>
      </c>
      <c r="O224" s="114" t="str">
        <f t="shared" si="52"/>
        <v>N/A</v>
      </c>
      <c r="P224" s="114" t="str">
        <f t="shared" si="49"/>
        <v>N/A</v>
      </c>
      <c r="Q224" s="114">
        <f t="shared" si="42"/>
        <v>0</v>
      </c>
      <c r="R224" s="114">
        <f t="shared" si="50"/>
        <v>0</v>
      </c>
      <c r="S224" s="114">
        <f t="shared" si="43"/>
        <v>0</v>
      </c>
      <c r="T224" s="114">
        <f t="shared" si="44"/>
        <v>0</v>
      </c>
      <c r="U224" s="114">
        <f t="shared" si="51"/>
        <v>64</v>
      </c>
      <c r="V224" s="114">
        <f t="shared" si="45"/>
        <v>0</v>
      </c>
    </row>
    <row r="225" spans="1:22" ht="60">
      <c r="A225" s="10" t="str">
        <f>Questions!$A225</f>
        <v>PCID-10</v>
      </c>
      <c r="B225" s="10" t="str">
        <f t="shared" si="46"/>
        <v>PCID</v>
      </c>
      <c r="C225" s="10" t="str">
        <f>VLOOKUP($A225,Questions!$A$3:$L$333,2,0)&amp;""</f>
        <v>What payment processors/gateways does the system support?</v>
      </c>
      <c r="D225" s="10" t="str">
        <f>VLOOKUP($A225,Questions!$A$3:$L$333,11,0)&amp;""</f>
        <v/>
      </c>
      <c r="E225" s="10" t="str">
        <f>VLOOKUP($A225,Questions!$A$3:$L$333,12,0)&amp;""</f>
        <v>Case-Specific</v>
      </c>
      <c r="F225" s="10" t="str">
        <f>VLOOKUP($A225,'Institution Evaluation'!$A$56:$K$346,3,0)&amp;""</f>
        <v/>
      </c>
      <c r="G225" s="10" t="str">
        <f>VLOOKUP($A225,'Institution Evaluation'!$A$56:$K$346,7,0)&amp;""</f>
        <v>Yes</v>
      </c>
      <c r="H225" s="10" t="str">
        <f>VLOOKUP($A225,'Institution Evaluation'!$A$56:$K$346,8,0)&amp;""</f>
        <v/>
      </c>
      <c r="I225" s="10" t="str">
        <f>VLOOKUP($A225,'Institution Evaluation'!$A$56:$K$346,9,0)&amp;""</f>
        <v>Minor Importance</v>
      </c>
      <c r="J225" s="10" t="str">
        <f>VLOOKUP($A225,'Institution Evaluation'!$A$56:$K$346,10,0)&amp;""</f>
        <v/>
      </c>
      <c r="K225" s="10">
        <f t="shared" si="47"/>
        <v>5</v>
      </c>
      <c r="L225" s="114">
        <f>IF($E225="Not Scored", "N/A",IF(AND($D225='Auto Responses'!$J$27,$H225=""),"N/A",IF(AND($D225='Auto Responses'!$J$27,$H225='Auto Responses'!$J$7),1,IF(AND($D225='Auto Responses'!$J$27,$H225='Auto Responses'!$J$8),0,IF(OR($F225=$G225,$H225='Auto Responses'!$J$7),1,0)))))</f>
        <v>0</v>
      </c>
      <c r="M225" s="10" t="str">
        <f>VLOOKUP($A225,'Institution Evaluation'!$A$56:$K$346,10,0)&amp;""</f>
        <v/>
      </c>
      <c r="N225" s="10">
        <f t="shared" si="48"/>
        <v>0</v>
      </c>
      <c r="O225" s="114" t="str">
        <f t="shared" si="52"/>
        <v>N/A</v>
      </c>
      <c r="P225" s="114" t="str">
        <f t="shared" si="49"/>
        <v>N/A</v>
      </c>
      <c r="Q225" s="114">
        <f t="shared" si="42"/>
        <v>0</v>
      </c>
      <c r="R225" s="114">
        <f t="shared" si="50"/>
        <v>0</v>
      </c>
      <c r="S225" s="114">
        <f t="shared" si="43"/>
        <v>0</v>
      </c>
      <c r="T225" s="114">
        <f t="shared" si="44"/>
        <v>0</v>
      </c>
      <c r="U225" s="114">
        <f t="shared" si="51"/>
        <v>64</v>
      </c>
      <c r="V225" s="114">
        <f t="shared" si="45"/>
        <v>0</v>
      </c>
    </row>
    <row r="226" spans="1:22" ht="60">
      <c r="A226" s="10" t="str">
        <f>Questions!$A226</f>
        <v>PCID-11</v>
      </c>
      <c r="B226" s="10" t="str">
        <f t="shared" si="46"/>
        <v>PCID</v>
      </c>
      <c r="C226" s="10" t="str">
        <f>VLOOKUP($A226,Questions!$A$3:$L$333,2,0)&amp;""</f>
        <v>Can the application be installed in a PCI DSS–compliant manner?</v>
      </c>
      <c r="D226" s="10" t="str">
        <f>VLOOKUP($A226,Questions!$A$3:$L$333,11,0)&amp;""</f>
        <v/>
      </c>
      <c r="E226" s="10" t="str">
        <f>VLOOKUP($A226,Questions!$A$3:$L$333,12,0)&amp;""</f>
        <v>Case-Specific</v>
      </c>
      <c r="F226" s="10" t="str">
        <f>VLOOKUP($A226,'Institution Evaluation'!$A$56:$K$346,3,0)&amp;""</f>
        <v/>
      </c>
      <c r="G226" s="10" t="str">
        <f>VLOOKUP($A226,'Institution Evaluation'!$A$56:$K$346,7,0)&amp;""</f>
        <v>Yes</v>
      </c>
      <c r="H226" s="10" t="str">
        <f>VLOOKUP($A226,'Institution Evaluation'!$A$56:$K$346,8,0)&amp;""</f>
        <v/>
      </c>
      <c r="I226" s="10" t="str">
        <f>VLOOKUP($A226,'Institution Evaluation'!$A$56:$K$346,9,0)&amp;""</f>
        <v>Minor Importance</v>
      </c>
      <c r="J226" s="10" t="str">
        <f>VLOOKUP($A226,'Institution Evaluation'!$A$56:$K$346,10,0)&amp;""</f>
        <v/>
      </c>
      <c r="K226" s="10">
        <f t="shared" si="47"/>
        <v>5</v>
      </c>
      <c r="L226" s="114">
        <f>IF($E226="Not Scored", "N/A",IF(AND($D226='Auto Responses'!$J$27,$H226=""),"N/A",IF(AND($D226='Auto Responses'!$J$27,$H226='Auto Responses'!$J$7),1,IF(AND($D226='Auto Responses'!$J$27,$H226='Auto Responses'!$J$8),0,IF(OR($F226=$G226,$H226='Auto Responses'!$J$7),1,0)))))</f>
        <v>0</v>
      </c>
      <c r="M226" s="10" t="str">
        <f>VLOOKUP($A226,'Institution Evaluation'!$A$56:$K$346,10,0)&amp;""</f>
        <v/>
      </c>
      <c r="N226" s="10">
        <f t="shared" si="48"/>
        <v>0</v>
      </c>
      <c r="O226" s="114" t="str">
        <f t="shared" si="52"/>
        <v>N/A</v>
      </c>
      <c r="P226" s="114" t="str">
        <f t="shared" si="49"/>
        <v>N/A</v>
      </c>
      <c r="Q226" s="114">
        <f t="shared" si="42"/>
        <v>0</v>
      </c>
      <c r="R226" s="114">
        <f t="shared" si="50"/>
        <v>0</v>
      </c>
      <c r="S226" s="114">
        <f t="shared" si="43"/>
        <v>0</v>
      </c>
      <c r="T226" s="114">
        <f t="shared" si="44"/>
        <v>0</v>
      </c>
      <c r="U226" s="114">
        <f t="shared" si="51"/>
        <v>64</v>
      </c>
      <c r="V226" s="114">
        <f t="shared" si="45"/>
        <v>0</v>
      </c>
    </row>
    <row r="227" spans="1:22" ht="75">
      <c r="A227" s="10" t="str">
        <f>Questions!$A227</f>
        <v>PCID-12</v>
      </c>
      <c r="B227" s="10" t="str">
        <f t="shared" si="46"/>
        <v>PCID</v>
      </c>
      <c r="C227" s="10" t="str">
        <f>VLOOKUP($A227,Questions!$A$3:$L$333,2,0)&amp;""</f>
        <v>Include documentation describing the system's abilities to comply with the PCI DSS and any features or capabilities of the system that must be added or changed in order to operate in compliance with the standards.</v>
      </c>
      <c r="D227" s="10" t="str">
        <f>VLOOKUP($A227,Questions!$A$3:$L$333,11,0)&amp;""</f>
        <v/>
      </c>
      <c r="E227" s="10" t="str">
        <f>VLOOKUP($A227,Questions!$A$3:$L$333,12,0)&amp;""</f>
        <v>Not scored</v>
      </c>
      <c r="F227" s="10" t="str">
        <f>VLOOKUP($A227,'Institution Evaluation'!$A$56:$K$346,3,0)&amp;""</f>
        <v/>
      </c>
      <c r="G227" s="10" t="str">
        <f>VLOOKUP($A227,'Institution Evaluation'!$A$56:$K$346,7,0)&amp;""</f>
        <v>Not scored</v>
      </c>
      <c r="H227" s="10" t="str">
        <f>VLOOKUP($A227,'Institution Evaluation'!$A$56:$K$346,8,0)&amp;""</f>
        <v/>
      </c>
      <c r="I227" s="10" t="str">
        <f>VLOOKUP($A227,'Institution Evaluation'!$A$56:$K$346,9,0)&amp;""</f>
        <v>Minor Importance</v>
      </c>
      <c r="J227" s="10" t="str">
        <f>VLOOKUP($A227,'Institution Evaluation'!$A$56:$K$346,10,0)&amp;""</f>
        <v/>
      </c>
      <c r="K227" s="10">
        <f t="shared" si="47"/>
        <v>5</v>
      </c>
      <c r="L227" s="114" t="str">
        <f>IF($E227="Not Scored", "N/A",IF(AND($D227='Auto Responses'!$J$27,$H227=""),"N/A",IF(AND($D227='Auto Responses'!$J$27,$H227='Auto Responses'!$J$7),1,IF(AND($D227='Auto Responses'!$J$27,$H227='Auto Responses'!$J$8),0,IF(OR($F227=$G227,$H227='Auto Responses'!$J$7),1,0)))))</f>
        <v>N/A</v>
      </c>
      <c r="M227" s="10" t="str">
        <f>VLOOKUP($A227,'Institution Evaluation'!$A$56:$K$346,10,0)&amp;""</f>
        <v/>
      </c>
      <c r="N227" s="10">
        <f t="shared" si="48"/>
        <v>0</v>
      </c>
      <c r="O227" s="114" t="str">
        <f t="shared" si="52"/>
        <v>N/A</v>
      </c>
      <c r="P227" s="114" t="str">
        <f t="shared" si="49"/>
        <v>N/A</v>
      </c>
      <c r="Q227" s="114">
        <f t="shared" si="42"/>
        <v>0</v>
      </c>
      <c r="R227" s="114">
        <f t="shared" si="50"/>
        <v>0</v>
      </c>
      <c r="S227" s="114">
        <f t="shared" si="43"/>
        <v>0</v>
      </c>
      <c r="T227" s="114">
        <f t="shared" si="44"/>
        <v>0</v>
      </c>
      <c r="U227" s="114">
        <f t="shared" si="51"/>
        <v>64</v>
      </c>
      <c r="V227" s="114">
        <f t="shared" si="45"/>
        <v>0</v>
      </c>
    </row>
    <row r="228" spans="1:22" ht="60">
      <c r="A228" s="10" t="str">
        <f>Questions!$A228</f>
        <v>OPEM-01</v>
      </c>
      <c r="B228" s="10" t="str">
        <f t="shared" si="46"/>
        <v>OPEM</v>
      </c>
      <c r="C228" s="10" t="str">
        <f>VLOOKUP($A228,Questions!$A$3:$L$333,2,0)&amp;""</f>
        <v>Do you support role-based access control (RBAC) for system administrators?</v>
      </c>
      <c r="D228" s="10" t="str">
        <f>VLOOKUP($A228,Questions!$A$3:$L$333,11,0)&amp;""</f>
        <v/>
      </c>
      <c r="E228" s="10" t="str">
        <f>VLOOKUP($A228,Questions!$A$3:$L$333,12,0)&amp;""</f>
        <v>Case-Specific</v>
      </c>
      <c r="F228" s="10" t="str">
        <f>VLOOKUP($A228,'Institution Evaluation'!$A$56:$K$346,3,0)&amp;""</f>
        <v/>
      </c>
      <c r="G228" s="10" t="str">
        <f>VLOOKUP($A228,'Institution Evaluation'!$A$56:$K$346,7,0)&amp;""</f>
        <v>Yes</v>
      </c>
      <c r="H228" s="10" t="str">
        <f>VLOOKUP($A228,'Institution Evaluation'!$A$56:$K$346,8,0)&amp;""</f>
        <v/>
      </c>
      <c r="I228" s="10" t="str">
        <f>VLOOKUP($A228,'Institution Evaluation'!$A$56:$K$346,9,0)&amp;""</f>
        <v>Standard Importance</v>
      </c>
      <c r="J228" s="10" t="str">
        <f>VLOOKUP($A228,'Institution Evaluation'!$A$56:$K$346,10,0)&amp;""</f>
        <v/>
      </c>
      <c r="K228" s="10">
        <f t="shared" si="47"/>
        <v>10</v>
      </c>
      <c r="L228" s="114">
        <f>IF($E228="Not Scored", "N/A",IF(AND($D228='Auto Responses'!$J$27,$H228=""),"N/A",IF(AND($D228='Auto Responses'!$J$27,$H228='Auto Responses'!$J$7),1,IF(AND($D228='Auto Responses'!$J$27,$H228='Auto Responses'!$J$8),0,IF(OR($F228=$G228,$H228='Auto Responses'!$J$7),1,0)))))</f>
        <v>0</v>
      </c>
      <c r="M228" s="10" t="str">
        <f>VLOOKUP($A228,'Institution Evaluation'!$A$56:$K$346,10,0)&amp;""</f>
        <v/>
      </c>
      <c r="N228" s="10">
        <f t="shared" si="48"/>
        <v>0</v>
      </c>
      <c r="O228" s="114" t="str">
        <f>IF(OR($F$23="No",$E228="Not Scored"),"N/A",IF($J228="",$K228,IF($J228="Minor Importance",5,IF($J228="Standard Importance",10,IF($J228="Critical Importance",20,0)))))</f>
        <v>N/A</v>
      </c>
      <c r="P228" s="114" t="str">
        <f t="shared" si="49"/>
        <v>N/A</v>
      </c>
      <c r="Q228" s="114">
        <f t="shared" si="42"/>
        <v>0</v>
      </c>
      <c r="R228" s="114">
        <f t="shared" si="50"/>
        <v>0</v>
      </c>
      <c r="S228" s="114">
        <f t="shared" si="43"/>
        <v>0</v>
      </c>
      <c r="T228" s="114">
        <f t="shared" si="44"/>
        <v>0</v>
      </c>
      <c r="U228" s="114">
        <f t="shared" si="51"/>
        <v>64</v>
      </c>
      <c r="V228" s="114">
        <f t="shared" si="45"/>
        <v>0</v>
      </c>
    </row>
    <row r="229" spans="1:22" ht="60">
      <c r="A229" s="10" t="str">
        <f>Questions!$A229</f>
        <v>OPEM-02</v>
      </c>
      <c r="B229" s="10" t="str">
        <f t="shared" si="46"/>
        <v>OPEM</v>
      </c>
      <c r="C229" s="10" t="str">
        <f>VLOOKUP($A229,Questions!$A$3:$L$333,2,0)&amp;""</f>
        <v>Can your employees access customer systems remotely?</v>
      </c>
      <c r="D229" s="10" t="str">
        <f>VLOOKUP($A229,Questions!$A$3:$L$333,11,0)&amp;""</f>
        <v/>
      </c>
      <c r="E229" s="10" t="str">
        <f>VLOOKUP($A229,Questions!$A$3:$L$333,12,0)&amp;""</f>
        <v>Case-Specific</v>
      </c>
      <c r="F229" s="10" t="str">
        <f>VLOOKUP($A229,'Institution Evaluation'!$A$56:$K$346,3,0)&amp;""</f>
        <v/>
      </c>
      <c r="G229" s="10" t="str">
        <f>VLOOKUP($A229,'Institution Evaluation'!$A$56:$K$346,7,0)&amp;""</f>
        <v>No</v>
      </c>
      <c r="H229" s="10" t="str">
        <f>VLOOKUP($A229,'Institution Evaluation'!$A$56:$K$346,8,0)&amp;""</f>
        <v/>
      </c>
      <c r="I229" s="10" t="str">
        <f>VLOOKUP($A229,'Institution Evaluation'!$A$56:$K$346,9,0)&amp;""</f>
        <v>Standard Importance</v>
      </c>
      <c r="J229" s="10" t="str">
        <f>VLOOKUP($A229,'Institution Evaluation'!$A$56:$K$346,10,0)&amp;""</f>
        <v/>
      </c>
      <c r="K229" s="10">
        <f t="shared" si="47"/>
        <v>10</v>
      </c>
      <c r="L229" s="114">
        <f>IF($E229="Not Scored", "N/A",IF(AND($D229='Auto Responses'!$J$27,$H229=""),"N/A",IF(AND($D229='Auto Responses'!$J$27,$H229='Auto Responses'!$J$7),1,IF(AND($D229='Auto Responses'!$J$27,$H229='Auto Responses'!$J$8),0,IF(OR($F229=$G229,$H229='Auto Responses'!$J$7),1,0)))))</f>
        <v>0</v>
      </c>
      <c r="M229" s="10" t="str">
        <f>VLOOKUP($A229,'Institution Evaluation'!$A$56:$K$346,10,0)&amp;""</f>
        <v/>
      </c>
      <c r="N229" s="10">
        <f t="shared" si="48"/>
        <v>0</v>
      </c>
      <c r="O229" s="114" t="str">
        <f t="shared" ref="O229:O237" si="53">IF(OR($F$23="No",$E229="Not Scored"),"N/A",IF($J229="",$K229,IF($J229="Minor Importance",5,IF($J229="Standard Importance",10,IF($J229="Critical Importance",20,0)))))</f>
        <v>N/A</v>
      </c>
      <c r="P229" s="114" t="str">
        <f t="shared" si="49"/>
        <v>N/A</v>
      </c>
      <c r="Q229" s="114">
        <f t="shared" si="42"/>
        <v>0</v>
      </c>
      <c r="R229" s="114">
        <f t="shared" si="50"/>
        <v>0</v>
      </c>
      <c r="S229" s="114">
        <f t="shared" si="43"/>
        <v>0</v>
      </c>
      <c r="T229" s="114">
        <f t="shared" si="44"/>
        <v>0</v>
      </c>
      <c r="U229" s="114">
        <f t="shared" si="51"/>
        <v>64</v>
      </c>
      <c r="V229" s="114">
        <f t="shared" si="45"/>
        <v>0</v>
      </c>
    </row>
    <row r="230" spans="1:22" ht="60">
      <c r="A230" s="10" t="str">
        <f>Questions!$A230</f>
        <v>OPEM-03</v>
      </c>
      <c r="B230" s="10" t="str">
        <f t="shared" si="46"/>
        <v>OPEM</v>
      </c>
      <c r="C230" s="10" t="str">
        <f>VLOOKUP($A230,Questions!$A$3:$L$333,2,0)&amp;""</f>
        <v>Can you provide overall system and/or application architecture diagrams including a full description of the data communications architecture for all components of the system?</v>
      </c>
      <c r="D230" s="10" t="str">
        <f>VLOOKUP($A230,Questions!$A$3:$L$333,11,0)&amp;""</f>
        <v/>
      </c>
      <c r="E230" s="10" t="str">
        <f>VLOOKUP($A230,Questions!$A$3:$L$333,12,0)&amp;""</f>
        <v>Case-Specific</v>
      </c>
      <c r="F230" s="10" t="str">
        <f>VLOOKUP($A230,'Institution Evaluation'!$A$56:$K$346,3,0)&amp;""</f>
        <v/>
      </c>
      <c r="G230" s="10" t="str">
        <f>VLOOKUP($A230,'Institution Evaluation'!$A$56:$K$346,7,0)&amp;""</f>
        <v>Yes</v>
      </c>
      <c r="H230" s="10" t="str">
        <f>VLOOKUP($A230,'Institution Evaluation'!$A$56:$K$346,8,0)&amp;""</f>
        <v/>
      </c>
      <c r="I230" s="10" t="str">
        <f>VLOOKUP($A230,'Institution Evaluation'!$A$56:$K$346,9,0)&amp;""</f>
        <v>Standard Importance</v>
      </c>
      <c r="J230" s="10" t="str">
        <f>VLOOKUP($A230,'Institution Evaluation'!$A$56:$K$346,10,0)&amp;""</f>
        <v/>
      </c>
      <c r="K230" s="10">
        <f t="shared" si="47"/>
        <v>10</v>
      </c>
      <c r="L230" s="114">
        <f>IF($E230="Not Scored", "N/A",IF(AND($D230='Auto Responses'!$J$27,$H230=""),"N/A",IF(AND($D230='Auto Responses'!$J$27,$H230='Auto Responses'!$J$7),1,IF(AND($D230='Auto Responses'!$J$27,$H230='Auto Responses'!$J$8),0,IF(OR($F230=$G230,$H230='Auto Responses'!$J$7),1,0)))))</f>
        <v>0</v>
      </c>
      <c r="M230" s="10" t="str">
        <f>VLOOKUP($A230,'Institution Evaluation'!$A$56:$K$346,10,0)&amp;""</f>
        <v/>
      </c>
      <c r="N230" s="10">
        <f t="shared" si="48"/>
        <v>0</v>
      </c>
      <c r="O230" s="114" t="str">
        <f t="shared" si="53"/>
        <v>N/A</v>
      </c>
      <c r="P230" s="114" t="str">
        <f t="shared" si="49"/>
        <v>N/A</v>
      </c>
      <c r="Q230" s="114">
        <f t="shared" si="42"/>
        <v>0</v>
      </c>
      <c r="R230" s="114">
        <f t="shared" si="50"/>
        <v>0</v>
      </c>
      <c r="S230" s="114">
        <f t="shared" si="43"/>
        <v>0</v>
      </c>
      <c r="T230" s="114">
        <f t="shared" si="44"/>
        <v>0</v>
      </c>
      <c r="U230" s="114">
        <f t="shared" si="51"/>
        <v>64</v>
      </c>
      <c r="V230" s="114">
        <f t="shared" si="45"/>
        <v>0</v>
      </c>
    </row>
    <row r="231" spans="1:22" ht="60">
      <c r="A231" s="10" t="str">
        <f>Questions!$A231</f>
        <v>OPEM-04</v>
      </c>
      <c r="B231" s="10" t="str">
        <f t="shared" si="46"/>
        <v>OPEM</v>
      </c>
      <c r="C231" s="10" t="str">
        <f>VLOOKUP($A231,Questions!$A$3:$L$333,2,0)&amp;""</f>
        <v>Do you require remote management of the system?</v>
      </c>
      <c r="D231" s="10" t="str">
        <f>VLOOKUP($A231,Questions!$A$3:$L$333,11,0)&amp;""</f>
        <v/>
      </c>
      <c r="E231" s="10" t="str">
        <f>VLOOKUP($A231,Questions!$A$3:$L$333,12,0)&amp;""</f>
        <v>Case-Specific</v>
      </c>
      <c r="F231" s="10" t="str">
        <f>VLOOKUP($A231,'Institution Evaluation'!$A$56:$K$346,3,0)&amp;""</f>
        <v/>
      </c>
      <c r="G231" s="10" t="str">
        <f>VLOOKUP($A231,'Institution Evaluation'!$A$56:$K$346,7,0)&amp;""</f>
        <v>No</v>
      </c>
      <c r="H231" s="10" t="str">
        <f>VLOOKUP($A231,'Institution Evaluation'!$A$56:$K$346,8,0)&amp;""</f>
        <v/>
      </c>
      <c r="I231" s="10" t="str">
        <f>VLOOKUP($A231,'Institution Evaluation'!$A$56:$K$346,9,0)&amp;""</f>
        <v>Standard Importance</v>
      </c>
      <c r="J231" s="10" t="str">
        <f>VLOOKUP($A231,'Institution Evaluation'!$A$56:$K$346,10,0)&amp;""</f>
        <v/>
      </c>
      <c r="K231" s="10">
        <f t="shared" si="47"/>
        <v>10</v>
      </c>
      <c r="L231" s="114">
        <f>IF($E231="Not Scored", "N/A",IF(AND($D231='Auto Responses'!$J$27,$H231=""),"N/A",IF(AND($D231='Auto Responses'!$J$27,$H231='Auto Responses'!$J$7),1,IF(AND($D231='Auto Responses'!$J$27,$H231='Auto Responses'!$J$8),0,IF(OR($F231=$G231,$H231='Auto Responses'!$J$7),1,0)))))</f>
        <v>0</v>
      </c>
      <c r="M231" s="10" t="str">
        <f>VLOOKUP($A231,'Institution Evaluation'!$A$56:$K$346,10,0)&amp;""</f>
        <v/>
      </c>
      <c r="N231" s="10">
        <f t="shared" si="48"/>
        <v>0</v>
      </c>
      <c r="O231" s="114" t="str">
        <f t="shared" si="53"/>
        <v>N/A</v>
      </c>
      <c r="P231" s="114" t="str">
        <f t="shared" si="49"/>
        <v>N/A</v>
      </c>
      <c r="Q231" s="114">
        <f t="shared" si="42"/>
        <v>0</v>
      </c>
      <c r="R231" s="114">
        <f t="shared" si="50"/>
        <v>0</v>
      </c>
      <c r="S231" s="114">
        <f t="shared" si="43"/>
        <v>0</v>
      </c>
      <c r="T231" s="114">
        <f t="shared" si="44"/>
        <v>0</v>
      </c>
      <c r="U231" s="114">
        <f t="shared" si="51"/>
        <v>64</v>
      </c>
      <c r="V231" s="114">
        <f t="shared" si="45"/>
        <v>0</v>
      </c>
    </row>
    <row r="232" spans="1:22" ht="60">
      <c r="A232" s="10" t="str">
        <f>Questions!$A232</f>
        <v>OPEM-05</v>
      </c>
      <c r="B232" s="10" t="str">
        <f t="shared" si="46"/>
        <v>OPEM</v>
      </c>
      <c r="C232" s="10" t="str">
        <f>VLOOKUP($A232,Questions!$A$3:$L$333,2,0)&amp;""</f>
        <v>If you answered "yes" to OPEM-04, are your remote actions and changes logged or otherwise visible to the campus?</v>
      </c>
      <c r="D232" s="10" t="str">
        <f>VLOOKUP($A232,Questions!$A$3:$L$333,11,0)&amp;""</f>
        <v/>
      </c>
      <c r="E232" s="10" t="str">
        <f>VLOOKUP($A232,Questions!$A$3:$L$333,12,0)&amp;""</f>
        <v>Case-Specific</v>
      </c>
      <c r="F232" s="10" t="str">
        <f>VLOOKUP($A232,'Institution Evaluation'!$A$56:$K$346,3,0)&amp;""</f>
        <v/>
      </c>
      <c r="G232" s="10" t="str">
        <f>VLOOKUP($A232,'Institution Evaluation'!$A$56:$K$346,7,0)&amp;""</f>
        <v>Yes</v>
      </c>
      <c r="H232" s="10" t="str">
        <f>VLOOKUP($A232,'Institution Evaluation'!$A$56:$K$346,8,0)&amp;""</f>
        <v/>
      </c>
      <c r="I232" s="10" t="str">
        <f>VLOOKUP($A232,'Institution Evaluation'!$A$56:$K$346,9,0)&amp;""</f>
        <v>Standard Importance</v>
      </c>
      <c r="J232" s="10" t="str">
        <f>VLOOKUP($A232,'Institution Evaluation'!$A$56:$K$346,10,0)&amp;""</f>
        <v/>
      </c>
      <c r="K232" s="10">
        <f t="shared" si="47"/>
        <v>10</v>
      </c>
      <c r="L232" s="114">
        <f>IF($E232="Not Scored", "N/A",IF(AND($D232='Auto Responses'!$J$27,$H232=""),"N/A",IF(AND($D232='Auto Responses'!$J$27,$H232='Auto Responses'!$J$7),1,IF(AND($D232='Auto Responses'!$J$27,$H232='Auto Responses'!$J$8),0,IF(OR($F232=$G232,$H232='Auto Responses'!$J$7),1,0)))))</f>
        <v>0</v>
      </c>
      <c r="M232" s="10" t="str">
        <f>VLOOKUP($A232,'Institution Evaluation'!$A$56:$K$346,10,0)&amp;""</f>
        <v/>
      </c>
      <c r="N232" s="10">
        <f t="shared" si="48"/>
        <v>0</v>
      </c>
      <c r="O232" s="114" t="str">
        <f>IF(OR($F$23="No",$E232="Not Scored",$F232="N/A"),"N/A",IF($J232="",$K232,IF($J232="Minor Importance",5,IF($J232="Standard Importance",10,IF($J232="Critical Importance",20,0)))))</f>
        <v>N/A</v>
      </c>
      <c r="P232" s="114" t="str">
        <f t="shared" si="49"/>
        <v>N/A</v>
      </c>
      <c r="Q232" s="114">
        <f t="shared" si="42"/>
        <v>0</v>
      </c>
      <c r="R232" s="114">
        <f t="shared" si="50"/>
        <v>0</v>
      </c>
      <c r="S232" s="114">
        <f t="shared" si="43"/>
        <v>0</v>
      </c>
      <c r="T232" s="114">
        <f t="shared" si="44"/>
        <v>0</v>
      </c>
      <c r="U232" s="114">
        <f t="shared" si="51"/>
        <v>64</v>
      </c>
      <c r="V232" s="114">
        <f t="shared" si="45"/>
        <v>0</v>
      </c>
    </row>
    <row r="233" spans="1:22" ht="60">
      <c r="A233" s="10" t="str">
        <f>Questions!$A233</f>
        <v>OPEM-06</v>
      </c>
      <c r="B233" s="10" t="str">
        <f t="shared" si="46"/>
        <v>OPEM</v>
      </c>
      <c r="C233" s="10" t="str">
        <f>VLOOKUP($A233,Questions!$A$3:$L$333,2,0)&amp;""</f>
        <v>If you maintain remote access to the system, will you handle data in a FERPA-compliant manner?</v>
      </c>
      <c r="D233" s="10" t="str">
        <f>VLOOKUP($A233,Questions!$A$3:$L$333,11,0)&amp;""</f>
        <v/>
      </c>
      <c r="E233" s="10" t="str">
        <f>VLOOKUP($A233,Questions!$A$3:$L$333,12,0)&amp;""</f>
        <v>Case-Specific</v>
      </c>
      <c r="F233" s="10" t="str">
        <f>VLOOKUP($A233,'Institution Evaluation'!$A$56:$K$346,3,0)&amp;""</f>
        <v/>
      </c>
      <c r="G233" s="10" t="str">
        <f>VLOOKUP($A233,'Institution Evaluation'!$A$56:$K$346,7,0)&amp;""</f>
        <v>Yes</v>
      </c>
      <c r="H233" s="10" t="str">
        <f>VLOOKUP($A233,'Institution Evaluation'!$A$56:$K$346,8,0)&amp;""</f>
        <v/>
      </c>
      <c r="I233" s="10" t="str">
        <f>VLOOKUP($A233,'Institution Evaluation'!$A$56:$K$346,9,0)&amp;""</f>
        <v>Standard Importance</v>
      </c>
      <c r="J233" s="10" t="str">
        <f>VLOOKUP($A233,'Institution Evaluation'!$A$56:$K$346,10,0)&amp;""</f>
        <v/>
      </c>
      <c r="K233" s="10">
        <f t="shared" si="47"/>
        <v>10</v>
      </c>
      <c r="L233" s="114">
        <f>IF($E233="Not Scored", "N/A",IF(AND($D233='Auto Responses'!$J$27,$H233=""),"N/A",IF(AND($D233='Auto Responses'!$J$27,$H233='Auto Responses'!$J$7),1,IF(AND($D233='Auto Responses'!$J$27,$H233='Auto Responses'!$J$8),0,IF(OR($F233=$G233,$H233='Auto Responses'!$J$7),1,0)))))</f>
        <v>0</v>
      </c>
      <c r="M233" s="10" t="str">
        <f>VLOOKUP($A233,'Institution Evaluation'!$A$56:$K$346,10,0)&amp;""</f>
        <v/>
      </c>
      <c r="N233" s="10">
        <f t="shared" si="48"/>
        <v>0</v>
      </c>
      <c r="O233" s="114" t="str">
        <f t="shared" si="53"/>
        <v>N/A</v>
      </c>
      <c r="P233" s="114" t="str">
        <f t="shared" si="49"/>
        <v>N/A</v>
      </c>
      <c r="Q233" s="114">
        <f t="shared" si="42"/>
        <v>0</v>
      </c>
      <c r="R233" s="114">
        <f t="shared" si="50"/>
        <v>0</v>
      </c>
      <c r="S233" s="114">
        <f t="shared" si="43"/>
        <v>0</v>
      </c>
      <c r="T233" s="114">
        <f t="shared" si="44"/>
        <v>0</v>
      </c>
      <c r="U233" s="114">
        <f t="shared" si="51"/>
        <v>64</v>
      </c>
      <c r="V233" s="114">
        <f t="shared" si="45"/>
        <v>0</v>
      </c>
    </row>
    <row r="234" spans="1:22" ht="60">
      <c r="A234" s="10" t="str">
        <f>Questions!$A234</f>
        <v>OPEM-07</v>
      </c>
      <c r="B234" s="10" t="str">
        <f t="shared" si="46"/>
        <v>OPEM</v>
      </c>
      <c r="C234" s="10" t="str">
        <f>VLOOKUP($A234,Questions!$A$3:$L$333,2,0)&amp;""</f>
        <v>Do you support campus status monitoring through SNMPv3 or other means?</v>
      </c>
      <c r="D234" s="10" t="str">
        <f>VLOOKUP($A234,Questions!$A$3:$L$333,11,0)&amp;""</f>
        <v/>
      </c>
      <c r="E234" s="10" t="str">
        <f>VLOOKUP($A234,Questions!$A$3:$L$333,12,0)&amp;""</f>
        <v>Case-Specific</v>
      </c>
      <c r="F234" s="10" t="str">
        <f>VLOOKUP($A234,'Institution Evaluation'!$A$56:$K$346,3,0)&amp;""</f>
        <v/>
      </c>
      <c r="G234" s="10" t="str">
        <f>VLOOKUP($A234,'Institution Evaluation'!$A$56:$K$346,7,0)&amp;""</f>
        <v>Yes</v>
      </c>
      <c r="H234" s="10" t="str">
        <f>VLOOKUP($A234,'Institution Evaluation'!$A$56:$K$346,8,0)&amp;""</f>
        <v/>
      </c>
      <c r="I234" s="10" t="str">
        <f>VLOOKUP($A234,'Institution Evaluation'!$A$56:$K$346,9,0)&amp;""</f>
        <v>Standard Importance</v>
      </c>
      <c r="J234" s="10" t="str">
        <f>VLOOKUP($A234,'Institution Evaluation'!$A$56:$K$346,10,0)&amp;""</f>
        <v/>
      </c>
      <c r="K234" s="10">
        <f t="shared" si="47"/>
        <v>10</v>
      </c>
      <c r="L234" s="114">
        <f>IF($E234="Not Scored", "N/A",IF(AND($D234='Auto Responses'!$J$27,$H234=""),"N/A",IF(AND($D234='Auto Responses'!$J$27,$H234='Auto Responses'!$J$7),1,IF(AND($D234='Auto Responses'!$J$27,$H234='Auto Responses'!$J$8),0,IF(OR($F234=$G234,$H234='Auto Responses'!$J$7),1,0)))))</f>
        <v>0</v>
      </c>
      <c r="M234" s="10" t="str">
        <f>VLOOKUP($A234,'Institution Evaluation'!$A$56:$K$346,10,0)&amp;""</f>
        <v/>
      </c>
      <c r="N234" s="10">
        <f t="shared" si="48"/>
        <v>0</v>
      </c>
      <c r="O234" s="114" t="str">
        <f t="shared" si="53"/>
        <v>N/A</v>
      </c>
      <c r="P234" s="114" t="str">
        <f t="shared" si="49"/>
        <v>N/A</v>
      </c>
      <c r="Q234" s="114">
        <f t="shared" si="42"/>
        <v>0</v>
      </c>
      <c r="R234" s="114">
        <f t="shared" si="50"/>
        <v>0</v>
      </c>
      <c r="S234" s="114">
        <f t="shared" si="43"/>
        <v>0</v>
      </c>
      <c r="T234" s="114">
        <f t="shared" si="44"/>
        <v>0</v>
      </c>
      <c r="U234" s="114">
        <f t="shared" si="51"/>
        <v>64</v>
      </c>
      <c r="V234" s="114">
        <f t="shared" si="45"/>
        <v>0</v>
      </c>
    </row>
    <row r="235" spans="1:22" ht="60">
      <c r="A235" s="10" t="str">
        <f>Questions!$A235</f>
        <v>OPEM-08</v>
      </c>
      <c r="B235" s="10" t="str">
        <f t="shared" si="46"/>
        <v>OPEM</v>
      </c>
      <c r="C235" s="10" t="str">
        <f>VLOOKUP($A235,Questions!$A$3:$L$333,2,0)&amp;""</f>
        <v>Describe or provide a reference to any other safeguards used to monitor for malicious activity.</v>
      </c>
      <c r="D235" s="10" t="str">
        <f>VLOOKUP($A235,Questions!$A$3:$L$333,11,0)&amp;""</f>
        <v/>
      </c>
      <c r="E235" s="10" t="str">
        <f>VLOOKUP($A235,Questions!$A$3:$L$333,12,0)&amp;""</f>
        <v>Not scored</v>
      </c>
      <c r="F235" s="10" t="str">
        <f>VLOOKUP($A235,'Institution Evaluation'!$A$56:$K$346,3,0)&amp;""</f>
        <v/>
      </c>
      <c r="G235" s="10" t="str">
        <f>VLOOKUP($A235,'Institution Evaluation'!$A$56:$K$346,7,0)&amp;""</f>
        <v>Not scored</v>
      </c>
      <c r="H235" s="10" t="str">
        <f>VLOOKUP($A235,'Institution Evaluation'!$A$56:$K$346,8,0)&amp;""</f>
        <v/>
      </c>
      <c r="I235" s="10" t="str">
        <f>VLOOKUP($A235,'Institution Evaluation'!$A$56:$K$346,9,0)&amp;""</f>
        <v>Standard Importance</v>
      </c>
      <c r="J235" s="10" t="str">
        <f>VLOOKUP($A235,'Institution Evaluation'!$A$56:$K$346,10,0)&amp;""</f>
        <v/>
      </c>
      <c r="K235" s="10">
        <f t="shared" si="47"/>
        <v>10</v>
      </c>
      <c r="L235" s="114" t="str">
        <f>IF($E235="Not Scored", "N/A",IF(AND($D235='Auto Responses'!$J$27,$H235=""),"N/A",IF(AND($D235='Auto Responses'!$J$27,$H235='Auto Responses'!$J$7),1,IF(AND($D235='Auto Responses'!$J$27,$H235='Auto Responses'!$J$8),0,IF(OR($F235=$G235,$H235='Auto Responses'!$J$7),1,0)))))</f>
        <v>N/A</v>
      </c>
      <c r="M235" s="10" t="str">
        <f>VLOOKUP($A235,'Institution Evaluation'!$A$56:$K$346,10,0)&amp;""</f>
        <v/>
      </c>
      <c r="N235" s="10">
        <f t="shared" si="48"/>
        <v>0</v>
      </c>
      <c r="O235" s="114" t="str">
        <f t="shared" si="53"/>
        <v>N/A</v>
      </c>
      <c r="P235" s="114" t="str">
        <f t="shared" si="49"/>
        <v>N/A</v>
      </c>
      <c r="Q235" s="114">
        <f t="shared" si="42"/>
        <v>0</v>
      </c>
      <c r="R235" s="114">
        <f t="shared" si="50"/>
        <v>0</v>
      </c>
      <c r="S235" s="114">
        <f t="shared" si="43"/>
        <v>0</v>
      </c>
      <c r="T235" s="114">
        <f t="shared" si="44"/>
        <v>0</v>
      </c>
      <c r="U235" s="114">
        <f t="shared" si="51"/>
        <v>64</v>
      </c>
      <c r="V235" s="114">
        <f t="shared" si="45"/>
        <v>0</v>
      </c>
    </row>
    <row r="236" spans="1:22" ht="60">
      <c r="A236" s="10" t="str">
        <f>Questions!$A236</f>
        <v>OPEM-09</v>
      </c>
      <c r="B236" s="10" t="str">
        <f t="shared" si="46"/>
        <v>OPEM</v>
      </c>
      <c r="C236" s="10" t="str">
        <f>VLOOKUP($A236,Questions!$A$3:$L$333,2,0)&amp;""</f>
        <v>Describe how long your organization has conducted business in this area.</v>
      </c>
      <c r="D236" s="10" t="str">
        <f>VLOOKUP($A236,Questions!$A$3:$L$333,11,0)&amp;""</f>
        <v/>
      </c>
      <c r="E236" s="10" t="str">
        <f>VLOOKUP($A236,Questions!$A$3:$L$333,12,0)&amp;""</f>
        <v>Not scored</v>
      </c>
      <c r="F236" s="10" t="str">
        <f>VLOOKUP($A236,'Institution Evaluation'!$A$56:$K$346,3,0)&amp;""</f>
        <v/>
      </c>
      <c r="G236" s="10" t="str">
        <f>VLOOKUP($A236,'Institution Evaluation'!$A$56:$K$346,7,0)&amp;""</f>
        <v>Not scored</v>
      </c>
      <c r="H236" s="10" t="str">
        <f>VLOOKUP($A236,'Institution Evaluation'!$A$56:$K$346,8,0)&amp;""</f>
        <v/>
      </c>
      <c r="I236" s="10" t="str">
        <f>VLOOKUP($A236,'Institution Evaluation'!$A$56:$K$346,9,0)&amp;""</f>
        <v>Minor Importance</v>
      </c>
      <c r="J236" s="10" t="str">
        <f>VLOOKUP($A236,'Institution Evaluation'!$A$56:$K$346,10,0)&amp;""</f>
        <v/>
      </c>
      <c r="K236" s="10">
        <f t="shared" si="47"/>
        <v>5</v>
      </c>
      <c r="L236" s="114" t="str">
        <f>IF($E236="Not Scored", "N/A",IF(AND($D236='Auto Responses'!$J$27,$H236=""),"N/A",IF(AND($D236='Auto Responses'!$J$27,$H236='Auto Responses'!$J$7),1,IF(AND($D236='Auto Responses'!$J$27,$H236='Auto Responses'!$J$8),0,IF(OR($F236=$G236,$H236='Auto Responses'!$J$7),1,0)))))</f>
        <v>N/A</v>
      </c>
      <c r="M236" s="10" t="str">
        <f>VLOOKUP($A236,'Institution Evaluation'!$A$56:$K$346,10,0)&amp;""</f>
        <v/>
      </c>
      <c r="N236" s="10">
        <f t="shared" si="48"/>
        <v>0</v>
      </c>
      <c r="O236" s="114" t="str">
        <f t="shared" si="53"/>
        <v>N/A</v>
      </c>
      <c r="P236" s="114" t="str">
        <f t="shared" si="49"/>
        <v>N/A</v>
      </c>
      <c r="Q236" s="114">
        <f t="shared" si="42"/>
        <v>0</v>
      </c>
      <c r="R236" s="114">
        <f t="shared" si="50"/>
        <v>0</v>
      </c>
      <c r="S236" s="114">
        <f t="shared" si="43"/>
        <v>0</v>
      </c>
      <c r="T236" s="114">
        <f t="shared" si="44"/>
        <v>0</v>
      </c>
      <c r="U236" s="114">
        <f t="shared" si="51"/>
        <v>64</v>
      </c>
      <c r="V236" s="114">
        <f t="shared" si="45"/>
        <v>0</v>
      </c>
    </row>
    <row r="237" spans="1:22" ht="60">
      <c r="A237" s="10" t="str">
        <f>Questions!$A237</f>
        <v>OPEM-10</v>
      </c>
      <c r="B237" s="10" t="str">
        <f t="shared" si="46"/>
        <v>OPEM</v>
      </c>
      <c r="C237" s="10" t="str">
        <f>VLOOKUP($A237,Questions!$A$3:$L$333,2,0)&amp;""</f>
        <v>Do you have existing higher education customers?</v>
      </c>
      <c r="D237" s="10" t="str">
        <f>VLOOKUP($A237,Questions!$A$3:$L$333,11,0)&amp;""</f>
        <v/>
      </c>
      <c r="E237" s="10" t="str">
        <f>VLOOKUP($A237,Questions!$A$3:$L$333,12,0)&amp;""</f>
        <v>Case-Specific</v>
      </c>
      <c r="F237" s="10" t="str">
        <f>VLOOKUP($A237,'Institution Evaluation'!$A$56:$K$346,3,0)&amp;""</f>
        <v/>
      </c>
      <c r="G237" s="10" t="str">
        <f>VLOOKUP($A237,'Institution Evaluation'!$A$56:$K$346,7,0)&amp;""</f>
        <v>Yes</v>
      </c>
      <c r="H237" s="10" t="str">
        <f>VLOOKUP($A237,'Institution Evaluation'!$A$56:$K$346,8,0)&amp;""</f>
        <v/>
      </c>
      <c r="I237" s="10" t="str">
        <f>VLOOKUP($A237,'Institution Evaluation'!$A$56:$K$346,9,0)&amp;""</f>
        <v>Minor Importance</v>
      </c>
      <c r="J237" s="10" t="str">
        <f>VLOOKUP($A237,'Institution Evaluation'!$A$56:$K$346,10,0)&amp;""</f>
        <v/>
      </c>
      <c r="K237" s="10">
        <f t="shared" si="47"/>
        <v>5</v>
      </c>
      <c r="L237" s="114">
        <f>IF($E237="Not Scored", "N/A",IF(AND($D237='Auto Responses'!$J$27,$H237=""),"N/A",IF(AND($D237='Auto Responses'!$J$27,$H237='Auto Responses'!$J$7),1,IF(AND($D237='Auto Responses'!$J$27,$H237='Auto Responses'!$J$8),0,IF(OR($F237=$G237,$H237='Auto Responses'!$J$7),1,0)))))</f>
        <v>0</v>
      </c>
      <c r="M237" s="10" t="str">
        <f>VLOOKUP($A237,'Institution Evaluation'!$A$56:$K$346,10,0)&amp;""</f>
        <v/>
      </c>
      <c r="N237" s="10">
        <f t="shared" si="48"/>
        <v>0</v>
      </c>
      <c r="O237" s="114" t="str">
        <f t="shared" si="53"/>
        <v>N/A</v>
      </c>
      <c r="P237" s="114" t="str">
        <f t="shared" si="49"/>
        <v>N/A</v>
      </c>
      <c r="Q237" s="114">
        <f t="shared" ref="Q237" si="54">IF(M237="TRUE",1,0)</f>
        <v>0</v>
      </c>
      <c r="R237" s="114">
        <f t="shared" si="50"/>
        <v>0</v>
      </c>
      <c r="S237" s="114">
        <f t="shared" ref="S237" si="55">IF(Q237=0,0,R237)</f>
        <v>0</v>
      </c>
      <c r="T237" s="114">
        <f t="shared" ref="T237" si="56">IF(N237=1,1,0)</f>
        <v>0</v>
      </c>
      <c r="U237" s="114">
        <f t="shared" si="51"/>
        <v>64</v>
      </c>
      <c r="V237" s="114">
        <f t="shared" ref="V237" si="57">IF(T237=0,0,U237)</f>
        <v>0</v>
      </c>
    </row>
    <row r="238" spans="1:22" ht="60">
      <c r="A238" s="10" t="str">
        <f>Questions!$A238</f>
        <v>PRGN-01</v>
      </c>
      <c r="B238" s="10" t="str">
        <f t="shared" si="46"/>
        <v>PRGN</v>
      </c>
      <c r="C238" s="10" t="str">
        <f>VLOOKUP($A238,Questions!$A$3:$L$333,2,0)&amp;""</f>
        <v>Does your solution process FERPA-related data?</v>
      </c>
      <c r="D238" s="10" t="str">
        <f>VLOOKUP($A238,Questions!$A$3:$L$333,11,0)&amp;""</f>
        <v>NA</v>
      </c>
      <c r="E238" s="10" t="str">
        <f>VLOOKUP($A238,Questions!$A$3:$L$333,12,0)&amp;""</f>
        <v>Not scored</v>
      </c>
      <c r="F238" s="10" t="str">
        <f>VLOOKUP($A238,'Privacy Analyst Evaluation'!$A$46:$K$120,3,0)&amp;""</f>
        <v>yes</v>
      </c>
      <c r="G238" s="10" t="str">
        <f>VLOOKUP($A238,'Privacy Analyst Evaluation'!$A$46:$K$120,7,0)&amp;""</f>
        <v>Not scored</v>
      </c>
      <c r="H238" s="10" t="str">
        <f>VLOOKUP($A238,'Privacy Analyst Evaluation'!$A$46:$K$120,8,0)&amp;""</f>
        <v/>
      </c>
      <c r="I238" s="10" t="str">
        <f>VLOOKUP($A238,'Privacy Analyst Evaluation'!$A$46:$K$120,9,0)&amp;""</f>
        <v/>
      </c>
      <c r="J238" s="10" t="str">
        <f>VLOOKUP($A238,'Privacy Analyst Evaluation'!$A$46:$K$120,10,0)&amp;""</f>
        <v/>
      </c>
      <c r="K238" s="10">
        <f t="shared" si="47"/>
        <v>10</v>
      </c>
      <c r="L238" s="114" t="str">
        <f>IF($E238="Not Scored", "N/A",IF(AND($D238='Auto Responses'!$J$27,$H238=""),"N/A",IF(AND($D238='Auto Responses'!$J$27,$H238='Auto Responses'!$J$7),1,IF(AND($D238='Auto Responses'!$J$27,$H238='Auto Responses'!$J$8),0,IF(OR($F238=$G238,$H238='Auto Responses'!$J$7),1,0)))))</f>
        <v>N/A</v>
      </c>
      <c r="M238" s="10" t="str">
        <f>VLOOKUP($A238,'Privacy Analyst Evaluation'!$A$46:$K$120,10,0)&amp;""</f>
        <v/>
      </c>
      <c r="N238" s="10">
        <f t="shared" si="48"/>
        <v>0</v>
      </c>
      <c r="O238" s="114" t="str">
        <f>IF(OR($E238="Not Scored",$F$24="No"),"N/A",IF($J238="",$K238,IF($J238="Minor Importance",5,IF($J238="Standard Importance",10,IF($J238="Critical Importance",20,0)))))</f>
        <v>N/A</v>
      </c>
      <c r="P238" s="114" t="str">
        <f t="shared" si="49"/>
        <v>N/A</v>
      </c>
      <c r="Q238" s="114">
        <f t="shared" si="42"/>
        <v>0</v>
      </c>
      <c r="R238" s="114">
        <f t="shared" si="50"/>
        <v>0</v>
      </c>
      <c r="S238" s="114">
        <f t="shared" si="43"/>
        <v>0</v>
      </c>
      <c r="T238" s="114">
        <f t="shared" si="44"/>
        <v>0</v>
      </c>
      <c r="U238" s="114">
        <f t="shared" si="51"/>
        <v>64</v>
      </c>
      <c r="V238" s="114">
        <f t="shared" si="45"/>
        <v>0</v>
      </c>
    </row>
    <row r="239" spans="1:22" ht="60">
      <c r="A239" s="10" t="str">
        <f>Questions!$A239</f>
        <v>PRGN-02</v>
      </c>
      <c r="B239" s="10" t="str">
        <f t="shared" si="46"/>
        <v>PRGN</v>
      </c>
      <c r="C239" s="10" t="str">
        <f>VLOOKUP($A239,Questions!$A$3:$L$333,2,0)&amp;""</f>
        <v>Does your solution process GDPR-related or PIPL-related data?</v>
      </c>
      <c r="D239" s="10" t="str">
        <f>VLOOKUP($A239,Questions!$A$3:$L$333,11,0)&amp;""</f>
        <v>NA</v>
      </c>
      <c r="E239" s="10" t="str">
        <f>VLOOKUP($A239,Questions!$A$3:$L$333,12,0)&amp;""</f>
        <v>Not scored</v>
      </c>
      <c r="F239" s="10" t="str">
        <f>VLOOKUP($A239,'Privacy Analyst Evaluation'!$A$46:$K$120,3,0)&amp;""</f>
        <v>no</v>
      </c>
      <c r="G239" s="10" t="str">
        <f>VLOOKUP($A239,'Privacy Analyst Evaluation'!$A$46:$K$120,7,0)&amp;""</f>
        <v>Not scored</v>
      </c>
      <c r="H239" s="10" t="str">
        <f>VLOOKUP($A239,'Privacy Analyst Evaluation'!$A$46:$K$120,8,0)&amp;""</f>
        <v/>
      </c>
      <c r="I239" s="10" t="str">
        <f>VLOOKUP($A239,'Privacy Analyst Evaluation'!$A$46:$K$120,9,0)&amp;""</f>
        <v/>
      </c>
      <c r="J239" s="10" t="str">
        <f>VLOOKUP($A239,'Privacy Analyst Evaluation'!$A$46:$K$120,10,0)&amp;""</f>
        <v/>
      </c>
      <c r="K239" s="10">
        <f t="shared" si="47"/>
        <v>10</v>
      </c>
      <c r="L239" s="114" t="str">
        <f>IF($E239="Not Scored", "N/A",IF(AND($D239='Auto Responses'!$J$27,$H239=""),"N/A",IF(AND($D239='Auto Responses'!$J$27,$H239='Auto Responses'!$J$7),1,IF(AND($D239='Auto Responses'!$J$27,$H239='Auto Responses'!$J$8),0,IF(OR($F239=$G239,$H239='Auto Responses'!$J$7),1,0)))))</f>
        <v>N/A</v>
      </c>
      <c r="M239" s="10" t="str">
        <f>VLOOKUP($A239,'Privacy Analyst Evaluation'!$A$46:$K$120,10,0)&amp;""</f>
        <v/>
      </c>
      <c r="N239" s="10">
        <f t="shared" si="48"/>
        <v>0</v>
      </c>
      <c r="O239" s="114" t="str">
        <f t="shared" ref="O239:O301" si="58">IF(OR($E239="Not Scored",$F$24="No"),"N/A",IF($J239="",$K239,IF($J239="Minor Importance",5,IF($J239="Standard Importance",10,IF($J239="Critical Importance",20,0)))))</f>
        <v>N/A</v>
      </c>
      <c r="P239" s="114" t="str">
        <f t="shared" si="49"/>
        <v>N/A</v>
      </c>
      <c r="Q239" s="114">
        <f t="shared" si="42"/>
        <v>0</v>
      </c>
      <c r="R239" s="114">
        <f t="shared" si="50"/>
        <v>0</v>
      </c>
      <c r="S239" s="114">
        <f t="shared" si="43"/>
        <v>0</v>
      </c>
      <c r="T239" s="114">
        <f t="shared" si="44"/>
        <v>0</v>
      </c>
      <c r="U239" s="114">
        <f t="shared" si="51"/>
        <v>64</v>
      </c>
      <c r="V239" s="114">
        <f t="shared" si="45"/>
        <v>0</v>
      </c>
    </row>
    <row r="240" spans="1:22" ht="60">
      <c r="A240" s="10" t="str">
        <f>Questions!$A240</f>
        <v>PRGN-03</v>
      </c>
      <c r="B240" s="10" t="str">
        <f t="shared" si="46"/>
        <v>PRGN</v>
      </c>
      <c r="C240" s="10" t="str">
        <f>VLOOKUP($A240,Questions!$A$3:$L$333,2,0)&amp;""</f>
        <v>Does your solution process personal data regulated by state law(s) (e.g., CCPA)?</v>
      </c>
      <c r="D240" s="10" t="str">
        <f>VLOOKUP($A240,Questions!$A$3:$L$333,11,0)&amp;""</f>
        <v>NA</v>
      </c>
      <c r="E240" s="10" t="str">
        <f>VLOOKUP($A240,Questions!$A$3:$L$333,12,0)&amp;""</f>
        <v>Not scored</v>
      </c>
      <c r="F240" s="10" t="str">
        <f>VLOOKUP($A240,'Privacy Analyst Evaluation'!$A$46:$K$120,3,0)&amp;""</f>
        <v>No</v>
      </c>
      <c r="G240" s="10" t="str">
        <f>VLOOKUP($A240,'Privacy Analyst Evaluation'!$A$46:$K$120,7,0)&amp;""</f>
        <v>Not scored</v>
      </c>
      <c r="H240" s="10" t="str">
        <f>VLOOKUP($A240,'Privacy Analyst Evaluation'!$A$46:$K$120,8,0)&amp;""</f>
        <v/>
      </c>
      <c r="I240" s="10" t="str">
        <f>VLOOKUP($A240,'Privacy Analyst Evaluation'!$A$46:$K$120,9,0)&amp;""</f>
        <v/>
      </c>
      <c r="J240" s="10" t="str">
        <f>VLOOKUP($A240,'Privacy Analyst Evaluation'!$A$46:$K$120,10,0)&amp;""</f>
        <v/>
      </c>
      <c r="K240" s="10">
        <f t="shared" si="47"/>
        <v>10</v>
      </c>
      <c r="L240" s="114" t="str">
        <f>IF($E240="Not Scored", "N/A",IF(AND($D240='Auto Responses'!$J$27,$H240=""),"N/A",IF(AND($D240='Auto Responses'!$J$27,$H240='Auto Responses'!$J$7),1,IF(AND($D240='Auto Responses'!$J$27,$H240='Auto Responses'!$J$8),0,IF(OR($F240=$G240,$H240='Auto Responses'!$J$7),1,0)))))</f>
        <v>N/A</v>
      </c>
      <c r="M240" s="10" t="str">
        <f>VLOOKUP($A240,'Privacy Analyst Evaluation'!$A$46:$K$120,10,0)&amp;""</f>
        <v/>
      </c>
      <c r="N240" s="10">
        <f t="shared" si="48"/>
        <v>0</v>
      </c>
      <c r="O240" s="114" t="str">
        <f t="shared" si="58"/>
        <v>N/A</v>
      </c>
      <c r="P240" s="114" t="str">
        <f t="shared" si="49"/>
        <v>N/A</v>
      </c>
      <c r="Q240" s="114">
        <f t="shared" si="42"/>
        <v>0</v>
      </c>
      <c r="R240" s="114">
        <f t="shared" si="50"/>
        <v>0</v>
      </c>
      <c r="S240" s="114">
        <f t="shared" si="43"/>
        <v>0</v>
      </c>
      <c r="T240" s="114">
        <f t="shared" si="44"/>
        <v>0</v>
      </c>
      <c r="U240" s="114">
        <f t="shared" si="51"/>
        <v>64</v>
      </c>
      <c r="V240" s="114">
        <f t="shared" si="45"/>
        <v>0</v>
      </c>
    </row>
    <row r="241" spans="1:22" ht="60">
      <c r="A241" s="10" t="str">
        <f>Questions!$A241</f>
        <v>PRGN-04</v>
      </c>
      <c r="B241" s="10" t="str">
        <f t="shared" si="46"/>
        <v>PRGN</v>
      </c>
      <c r="C241" s="10" t="str">
        <f>VLOOKUP($A241,Questions!$A$3:$L$333,2,0)&amp;""</f>
        <v>Does your solution process user-provided data that may contain regulated information?</v>
      </c>
      <c r="D241" s="10" t="str">
        <f>VLOOKUP($A241,Questions!$A$3:$L$333,11,0)&amp;""</f>
        <v>NA</v>
      </c>
      <c r="E241" s="10" t="str">
        <f>VLOOKUP($A241,Questions!$A$3:$L$333,12,0)&amp;""</f>
        <v>Not scored</v>
      </c>
      <c r="F241" s="10" t="str">
        <f>VLOOKUP($A241,'Privacy Analyst Evaluation'!$A$46:$K$120,3,0)&amp;""</f>
        <v>No</v>
      </c>
      <c r="G241" s="10" t="str">
        <f>VLOOKUP($A241,'Privacy Analyst Evaluation'!$A$46:$K$120,7,0)&amp;""</f>
        <v>Not scored</v>
      </c>
      <c r="H241" s="10" t="str">
        <f>VLOOKUP($A241,'Privacy Analyst Evaluation'!$A$46:$K$120,8,0)&amp;""</f>
        <v/>
      </c>
      <c r="I241" s="10" t="str">
        <f>VLOOKUP($A241,'Privacy Analyst Evaluation'!$A$46:$K$120,9,0)&amp;""</f>
        <v/>
      </c>
      <c r="J241" s="10" t="str">
        <f>VLOOKUP($A241,'Privacy Analyst Evaluation'!$A$46:$K$120,10,0)&amp;""</f>
        <v/>
      </c>
      <c r="K241" s="10">
        <f t="shared" si="47"/>
        <v>10</v>
      </c>
      <c r="L241" s="114" t="str">
        <f>IF($E241="Not Scored", "N/A",IF(AND($D241='Auto Responses'!$J$27,$H241=""),"N/A",IF(AND($D241='Auto Responses'!$J$27,$H241='Auto Responses'!$J$7),1,IF(AND($D241='Auto Responses'!$J$27,$H241='Auto Responses'!$J$8),0,IF(OR($F241=$G241,$H241='Auto Responses'!$J$7),1,0)))))</f>
        <v>N/A</v>
      </c>
      <c r="M241" s="10" t="str">
        <f>VLOOKUP($A241,'Privacy Analyst Evaluation'!$A$46:$K$120,10,0)&amp;""</f>
        <v/>
      </c>
      <c r="N241" s="10">
        <f t="shared" si="48"/>
        <v>0</v>
      </c>
      <c r="O241" s="114" t="str">
        <f t="shared" si="58"/>
        <v>N/A</v>
      </c>
      <c r="P241" s="114" t="str">
        <f t="shared" si="49"/>
        <v>N/A</v>
      </c>
      <c r="Q241" s="114">
        <f t="shared" si="42"/>
        <v>0</v>
      </c>
      <c r="R241" s="114">
        <f t="shared" si="50"/>
        <v>0</v>
      </c>
      <c r="S241" s="114">
        <f t="shared" si="43"/>
        <v>0</v>
      </c>
      <c r="T241" s="114">
        <f t="shared" si="44"/>
        <v>0</v>
      </c>
      <c r="U241" s="114">
        <f t="shared" si="51"/>
        <v>64</v>
      </c>
      <c r="V241" s="114">
        <f t="shared" si="45"/>
        <v>0</v>
      </c>
    </row>
    <row r="242" spans="1:22" ht="60">
      <c r="A242" s="10" t="str">
        <f>Questions!$A242</f>
        <v>PRGN-05</v>
      </c>
      <c r="B242" s="10" t="str">
        <f t="shared" si="46"/>
        <v>PRGN</v>
      </c>
      <c r="C242" s="10" t="str">
        <f>VLOOKUP($A242,Questions!$A$3:$L$333,2,0)&amp;""</f>
        <v>Web Link to Product/Service Privacy Notice</v>
      </c>
      <c r="D242" s="10" t="str">
        <f>VLOOKUP($A242,Questions!$A$3:$L$333,11,0)&amp;""</f>
        <v/>
      </c>
      <c r="E242" s="10" t="str">
        <f>VLOOKUP($A242,Questions!$A$3:$L$333,12,0)&amp;""</f>
        <v>Not scored</v>
      </c>
      <c r="F242" s="10" t="str">
        <f>VLOOKUP($A242,'Privacy Analyst Evaluation'!$A$46:$K$120,3,0)&amp;""</f>
        <v/>
      </c>
      <c r="G242" s="10" t="str">
        <f>VLOOKUP($A242,'Privacy Analyst Evaluation'!$A$46:$K$120,7,0)&amp;""</f>
        <v>Not scored</v>
      </c>
      <c r="H242" s="10" t="str">
        <f>VLOOKUP($A242,'Privacy Analyst Evaluation'!$A$46:$K$120,8,0)&amp;""</f>
        <v/>
      </c>
      <c r="I242" s="10" t="str">
        <f>VLOOKUP($A242,'Privacy Analyst Evaluation'!$A$46:$K$120,9,0)&amp;""</f>
        <v>Standard Importance</v>
      </c>
      <c r="J242" s="10" t="str">
        <f>VLOOKUP($A242,'Privacy Analyst Evaluation'!$A$46:$K$120,10,0)&amp;""</f>
        <v/>
      </c>
      <c r="K242" s="10">
        <f t="shared" si="47"/>
        <v>10</v>
      </c>
      <c r="L242" s="114" t="str">
        <f>IF($E242="Not Scored", "N/A",IF(AND($D242='Auto Responses'!$J$27,$H242=""),"N/A",IF(AND($D242='Auto Responses'!$J$27,$H242='Auto Responses'!$J$7),1,IF(AND($D242='Auto Responses'!$J$27,$H242='Auto Responses'!$J$8),0,IF(OR($F242=$G242,$H242='Auto Responses'!$J$7),1,0)))))</f>
        <v>N/A</v>
      </c>
      <c r="M242" s="10" t="str">
        <f>VLOOKUP($A242,'Privacy Analyst Evaluation'!$A$46:$K$120,10,0)&amp;""</f>
        <v/>
      </c>
      <c r="N242" s="10">
        <f t="shared" si="48"/>
        <v>0</v>
      </c>
      <c r="O242" s="114" t="str">
        <f t="shared" si="58"/>
        <v>N/A</v>
      </c>
      <c r="P242" s="114" t="str">
        <f t="shared" si="49"/>
        <v>N/A</v>
      </c>
      <c r="Q242" s="114">
        <f t="shared" si="42"/>
        <v>0</v>
      </c>
      <c r="R242" s="114">
        <f t="shared" si="50"/>
        <v>0</v>
      </c>
      <c r="S242" s="114">
        <f t="shared" si="43"/>
        <v>0</v>
      </c>
      <c r="T242" s="114">
        <f t="shared" si="44"/>
        <v>0</v>
      </c>
      <c r="U242" s="114">
        <f t="shared" si="51"/>
        <v>64</v>
      </c>
      <c r="V242" s="114">
        <f t="shared" si="45"/>
        <v>0</v>
      </c>
    </row>
    <row r="243" spans="1:22" ht="60">
      <c r="A243" s="10" t="str">
        <f>Questions!$A243</f>
        <v>PCOM-01</v>
      </c>
      <c r="B243" s="10" t="str">
        <f t="shared" si="46"/>
        <v>PCOM</v>
      </c>
      <c r="C243" s="10" t="str">
        <f>VLOOKUP($A243,Questions!$A$3:$L$333,2,0)&amp;""</f>
        <v>Have you had a personal data breach in the past three years that involved reporting to a governmental agency, notice to individuals (including voluntary notice), or notice to another organization or institution?*</v>
      </c>
      <c r="D243" s="10" t="str">
        <f>VLOOKUP($A243,Questions!$A$3:$L$333,11,0)&amp;""</f>
        <v/>
      </c>
      <c r="E243" s="10" t="str">
        <f>VLOOKUP($A243,Questions!$A$3:$L$333,12,0)&amp;""</f>
        <v>Privacy</v>
      </c>
      <c r="F243" s="10" t="str">
        <f>VLOOKUP($A243,'Privacy Analyst Evaluation'!$A$46:$K$120,3,0)&amp;""</f>
        <v>No</v>
      </c>
      <c r="G243" s="10" t="str">
        <f>VLOOKUP($A243,'Privacy Analyst Evaluation'!$A$46:$K$120,7,0)&amp;""</f>
        <v>No</v>
      </c>
      <c r="H243" s="10" t="str">
        <f>VLOOKUP($A243,'Privacy Analyst Evaluation'!$A$46:$K$120,8,0)&amp;""</f>
        <v/>
      </c>
      <c r="I243" s="10" t="str">
        <f>VLOOKUP($A243,'Privacy Analyst Evaluation'!$A$46:$K$120,9,0)&amp;""</f>
        <v>Critical Importance</v>
      </c>
      <c r="J243" s="10" t="str">
        <f>VLOOKUP($A243,'Privacy Analyst Evaluation'!$A$46:$K$120,10,0)&amp;""</f>
        <v/>
      </c>
      <c r="K243" s="10">
        <f t="shared" si="47"/>
        <v>20</v>
      </c>
      <c r="L243" s="114">
        <f>IF($E243="Not Scored", "N/A",IF(AND($D243='Auto Responses'!$J$27,$H243=""),"N/A",IF(AND($D243='Auto Responses'!$J$27,$H243='Auto Responses'!$J$7),1,IF(AND($D243='Auto Responses'!$J$27,$H243='Auto Responses'!$J$8),0,IF(OR($F243=$G243,$H243='Auto Responses'!$J$7),1,0)))))</f>
        <v>1</v>
      </c>
      <c r="M243" s="10" t="str">
        <f>VLOOKUP($A243,'Privacy Analyst Evaluation'!$A$46:$K$120,10,0)&amp;""</f>
        <v/>
      </c>
      <c r="N243" s="10">
        <f t="shared" si="48"/>
        <v>1</v>
      </c>
      <c r="O243" s="114">
        <f t="shared" si="58"/>
        <v>20</v>
      </c>
      <c r="P243" s="114">
        <f t="shared" si="49"/>
        <v>20</v>
      </c>
      <c r="Q243" s="114">
        <f t="shared" si="42"/>
        <v>0</v>
      </c>
      <c r="R243" s="114">
        <f t="shared" si="50"/>
        <v>0</v>
      </c>
      <c r="S243" s="114">
        <f t="shared" si="43"/>
        <v>0</v>
      </c>
      <c r="T243" s="114">
        <f t="shared" si="44"/>
        <v>1</v>
      </c>
      <c r="U243" s="114">
        <f t="shared" si="51"/>
        <v>65</v>
      </c>
      <c r="V243" s="114">
        <f t="shared" si="45"/>
        <v>65</v>
      </c>
    </row>
    <row r="244" spans="1:22" ht="60">
      <c r="A244" s="10" t="str">
        <f>Questions!$A244</f>
        <v>PCOM-02</v>
      </c>
      <c r="B244" s="10" t="str">
        <f t="shared" si="46"/>
        <v>PCOM</v>
      </c>
      <c r="C244" s="10" t="str">
        <f>VLOOKUP($A244,Questions!$A$3:$L$333,2,0)&amp;""</f>
        <v>Use this area to share information about your privacy practices that will assist those who are assessing your company data privacy program.*</v>
      </c>
      <c r="D244" s="10" t="str">
        <f>VLOOKUP($A244,Questions!$A$3:$L$333,11,0)&amp;""</f>
        <v/>
      </c>
      <c r="E244" s="10" t="str">
        <f>VLOOKUP($A244,Questions!$A$3:$L$333,12,0)&amp;""</f>
        <v>Not scored</v>
      </c>
      <c r="F244" s="10" t="str">
        <f>VLOOKUP($A244,'Privacy Analyst Evaluation'!$A$46:$K$120,3,0)&amp;""</f>
        <v>yes</v>
      </c>
      <c r="G244" s="10" t="str">
        <f>VLOOKUP($A244,'Privacy Analyst Evaluation'!$A$46:$K$120,7,0)&amp;""</f>
        <v>Not scored</v>
      </c>
      <c r="H244" s="10" t="str">
        <f>VLOOKUP($A244,'Privacy Analyst Evaluation'!$A$46:$K$120,8,0)&amp;""</f>
        <v/>
      </c>
      <c r="I244" s="10" t="str">
        <f>VLOOKUP($A244,'Privacy Analyst Evaluation'!$A$46:$K$120,9,0)&amp;""</f>
        <v>Critical Importance</v>
      </c>
      <c r="J244" s="10" t="str">
        <f>VLOOKUP($A244,'Privacy Analyst Evaluation'!$A$46:$K$120,10,0)&amp;""</f>
        <v/>
      </c>
      <c r="K244" s="10">
        <f t="shared" si="47"/>
        <v>20</v>
      </c>
      <c r="L244" s="114" t="str">
        <f>IF($E244="Not Scored", "N/A",IF(AND($D244='Auto Responses'!$J$27,$H244=""),"N/A",IF(AND($D244='Auto Responses'!$J$27,$H244='Auto Responses'!$J$7),1,IF(AND($D244='Auto Responses'!$J$27,$H244='Auto Responses'!$J$8),0,IF(OR($F244=$G244,$H244='Auto Responses'!$J$7),1,0)))))</f>
        <v>N/A</v>
      </c>
      <c r="M244" s="10" t="str">
        <f>VLOOKUP($A244,'Privacy Analyst Evaluation'!$A$46:$K$120,10,0)&amp;""</f>
        <v/>
      </c>
      <c r="N244" s="10">
        <f t="shared" si="48"/>
        <v>1</v>
      </c>
      <c r="O244" s="114" t="str">
        <f t="shared" si="58"/>
        <v>N/A</v>
      </c>
      <c r="P244" s="114" t="str">
        <f t="shared" si="49"/>
        <v>N/A</v>
      </c>
      <c r="Q244" s="114">
        <f t="shared" si="42"/>
        <v>0</v>
      </c>
      <c r="R244" s="114">
        <f t="shared" si="50"/>
        <v>0</v>
      </c>
      <c r="S244" s="114">
        <f t="shared" si="43"/>
        <v>0</v>
      </c>
      <c r="T244" s="114">
        <f t="shared" si="44"/>
        <v>1</v>
      </c>
      <c r="U244" s="114">
        <f t="shared" si="51"/>
        <v>66</v>
      </c>
      <c r="V244" s="114">
        <f t="shared" si="45"/>
        <v>66</v>
      </c>
    </row>
    <row r="245" spans="1:22" ht="60">
      <c r="A245" s="10" t="str">
        <f>Questions!$A245</f>
        <v>PCOM-03</v>
      </c>
      <c r="B245" s="10" t="str">
        <f t="shared" si="46"/>
        <v>PCOM</v>
      </c>
      <c r="C245" s="10" t="str">
        <f>VLOOKUP($A245,Questions!$A$3:$L$333,2,0)&amp;""</f>
        <v>Have you had any data privacy policy or law violations in the past 36 months?</v>
      </c>
      <c r="D245" s="10" t="str">
        <f>VLOOKUP($A245,Questions!$A$3:$L$333,11,0)&amp;""</f>
        <v/>
      </c>
      <c r="E245" s="10" t="str">
        <f>VLOOKUP($A245,Questions!$A$3:$L$333,12,0)&amp;""</f>
        <v>Privacy</v>
      </c>
      <c r="F245" s="10" t="str">
        <f>VLOOKUP($A245,'Privacy Analyst Evaluation'!$A$46:$K$120,3,0)&amp;""</f>
        <v>No</v>
      </c>
      <c r="G245" s="10" t="str">
        <f>VLOOKUP($A245,'Privacy Analyst Evaluation'!$A$46:$K$120,7,0)&amp;""</f>
        <v>No</v>
      </c>
      <c r="H245" s="10" t="str">
        <f>VLOOKUP($A245,'Privacy Analyst Evaluation'!$A$46:$K$120,8,0)&amp;""</f>
        <v/>
      </c>
      <c r="I245" s="10" t="str">
        <f>VLOOKUP($A245,'Privacy Analyst Evaluation'!$A$46:$K$120,9,0)&amp;""</f>
        <v>Minor Importance</v>
      </c>
      <c r="J245" s="10" t="str">
        <f>VLOOKUP($A245,'Privacy Analyst Evaluation'!$A$46:$K$120,10,0)&amp;""</f>
        <v/>
      </c>
      <c r="K245" s="10">
        <f t="shared" si="47"/>
        <v>5</v>
      </c>
      <c r="L245" s="114">
        <f>IF($E245="Not Scored", "N/A",IF(AND($D245='Auto Responses'!$J$27,$H245=""),"N/A",IF(AND($D245='Auto Responses'!$J$27,$H245='Auto Responses'!$J$7),1,IF(AND($D245='Auto Responses'!$J$27,$H245='Auto Responses'!$J$8),0,IF(OR($F245=$G245,$H245='Auto Responses'!$J$7),1,0)))))</f>
        <v>1</v>
      </c>
      <c r="M245" s="10" t="str">
        <f>VLOOKUP($A245,'Privacy Analyst Evaluation'!$A$46:$K$120,10,0)&amp;""</f>
        <v/>
      </c>
      <c r="N245" s="10">
        <f t="shared" si="48"/>
        <v>0</v>
      </c>
      <c r="O245" s="114">
        <f t="shared" si="58"/>
        <v>5</v>
      </c>
      <c r="P245" s="114">
        <f t="shared" si="49"/>
        <v>5</v>
      </c>
      <c r="Q245" s="114">
        <f t="shared" si="42"/>
        <v>0</v>
      </c>
      <c r="R245" s="114">
        <f t="shared" si="50"/>
        <v>0</v>
      </c>
      <c r="S245" s="114">
        <f t="shared" si="43"/>
        <v>0</v>
      </c>
      <c r="T245" s="114">
        <f t="shared" si="44"/>
        <v>0</v>
      </c>
      <c r="U245" s="114">
        <f t="shared" si="51"/>
        <v>66</v>
      </c>
      <c r="V245" s="114">
        <f t="shared" si="45"/>
        <v>0</v>
      </c>
    </row>
    <row r="246" spans="1:22" ht="60">
      <c r="A246" s="10" t="str">
        <f>Questions!$A246</f>
        <v>PCOM-04</v>
      </c>
      <c r="B246" s="10" t="str">
        <f t="shared" si="46"/>
        <v>PCOM</v>
      </c>
      <c r="C246" s="10" t="str">
        <f>VLOOKUP($A246,Questions!$A$3:$L$333,2,0)&amp;""</f>
        <v>Do you have a dedicated data privacy staff or office?</v>
      </c>
      <c r="D246" s="10" t="str">
        <f>VLOOKUP($A246,Questions!$A$3:$L$333,11,0)&amp;""</f>
        <v/>
      </c>
      <c r="E246" s="10" t="str">
        <f>VLOOKUP($A246,Questions!$A$3:$L$333,12,0)&amp;""</f>
        <v>Privacy</v>
      </c>
      <c r="F246" s="10" t="str">
        <f>VLOOKUP($A246,'Privacy Analyst Evaluation'!$A$46:$K$120,3,0)&amp;""</f>
        <v>No</v>
      </c>
      <c r="G246" s="10" t="str">
        <f>VLOOKUP($A246,'Privacy Analyst Evaluation'!$A$46:$K$120,7,0)&amp;""</f>
        <v>Yes</v>
      </c>
      <c r="H246" s="10" t="str">
        <f>VLOOKUP($A246,'Privacy Analyst Evaluation'!$A$46:$K$120,8,0)&amp;""</f>
        <v/>
      </c>
      <c r="I246" s="10" t="str">
        <f>VLOOKUP($A246,'Privacy Analyst Evaluation'!$A$46:$K$120,9,0)&amp;""</f>
        <v>Minor Importance</v>
      </c>
      <c r="J246" s="10" t="str">
        <f>VLOOKUP($A246,'Privacy Analyst Evaluation'!$A$46:$K$120,10,0)&amp;""</f>
        <v/>
      </c>
      <c r="K246" s="10">
        <f t="shared" si="47"/>
        <v>5</v>
      </c>
      <c r="L246" s="114">
        <f>IF($E246="Not Scored", "N/A",IF(AND($D246='Auto Responses'!$J$27,$H246=""),"N/A",IF(AND($D246='Auto Responses'!$J$27,$H246='Auto Responses'!$J$7),1,IF(AND($D246='Auto Responses'!$J$27,$H246='Auto Responses'!$J$8),0,IF(OR($F246=$G246,$H246='Auto Responses'!$J$7),1,0)))))</f>
        <v>0</v>
      </c>
      <c r="M246" s="10" t="str">
        <f>VLOOKUP($A246,'Privacy Analyst Evaluation'!$A$46:$K$120,10,0)&amp;""</f>
        <v/>
      </c>
      <c r="N246" s="10">
        <f t="shared" si="48"/>
        <v>0</v>
      </c>
      <c r="O246" s="114">
        <f t="shared" si="58"/>
        <v>5</v>
      </c>
      <c r="P246" s="114">
        <f t="shared" si="49"/>
        <v>0</v>
      </c>
      <c r="Q246" s="114">
        <f t="shared" si="42"/>
        <v>0</v>
      </c>
      <c r="R246" s="114">
        <f t="shared" si="50"/>
        <v>0</v>
      </c>
      <c r="S246" s="114">
        <f t="shared" si="43"/>
        <v>0</v>
      </c>
      <c r="T246" s="114">
        <f t="shared" si="44"/>
        <v>0</v>
      </c>
      <c r="U246" s="114">
        <f t="shared" si="51"/>
        <v>66</v>
      </c>
      <c r="V246" s="114">
        <f t="shared" si="45"/>
        <v>0</v>
      </c>
    </row>
    <row r="247" spans="1:22" ht="60">
      <c r="A247" s="10" t="str">
        <f>Questions!$A247</f>
        <v>PDOC-01</v>
      </c>
      <c r="B247" s="10" t="str">
        <f t="shared" si="46"/>
        <v>PDOC</v>
      </c>
      <c r="C247" s="10" t="str">
        <f>VLOOKUP($A247,Questions!$A$3:$L$333,2,0)&amp;""</f>
        <v>If you have completed a SOC 2 audit, does it include the Privacy Trust Service Principle?</v>
      </c>
      <c r="D247" s="10" t="str">
        <f>VLOOKUP($A247,Questions!$A$3:$L$333,11,0)&amp;""</f>
        <v/>
      </c>
      <c r="E247" s="10" t="str">
        <f>VLOOKUP($A247,Questions!$A$3:$L$333,12,0)&amp;""</f>
        <v>Privacy</v>
      </c>
      <c r="F247" s="10" t="str">
        <f>VLOOKUP($A247,'Privacy Analyst Evaluation'!$A$46:$K$120,3,0)&amp;""</f>
        <v>N/A</v>
      </c>
      <c r="G247" s="10" t="str">
        <f>VLOOKUP($A247,'Privacy Analyst Evaluation'!$A$46:$K$120,7,0)&amp;""</f>
        <v>Yes</v>
      </c>
      <c r="H247" s="10" t="str">
        <f>VLOOKUP($A247,'Privacy Analyst Evaluation'!$A$46:$K$120,8,0)&amp;""</f>
        <v/>
      </c>
      <c r="I247" s="10" t="str">
        <f>VLOOKUP($A247,'Privacy Analyst Evaluation'!$A$46:$K$120,9,0)&amp;""</f>
        <v>Standard Importance</v>
      </c>
      <c r="J247" s="10" t="str">
        <f>VLOOKUP($A247,'Privacy Analyst Evaluation'!$A$46:$K$120,10,0)&amp;""</f>
        <v/>
      </c>
      <c r="K247" s="10">
        <f t="shared" si="47"/>
        <v>10</v>
      </c>
      <c r="L247" s="114">
        <f>IF($E247="Not Scored", "N/A",IF(AND($D247='Auto Responses'!$J$27,$H247=""),"N/A",IF(AND($D247='Auto Responses'!$J$27,$H247='Auto Responses'!$J$7),1,IF(AND($D247='Auto Responses'!$J$27,$H247='Auto Responses'!$J$8),0,IF(OR($F247=$G247,$H247='Auto Responses'!$J$7),1,0)))))</f>
        <v>0</v>
      </c>
      <c r="M247" s="10" t="str">
        <f>VLOOKUP($A247,'Privacy Analyst Evaluation'!$A$46:$K$120,10,0)&amp;""</f>
        <v/>
      </c>
      <c r="N247" s="10">
        <f t="shared" si="48"/>
        <v>0</v>
      </c>
      <c r="O247" s="114" t="str">
        <f>IF(OR($E247="Not Scored",$F247="N/A",$F$24="No"),"N/A",IF($J247="",$K247,IF($J247="Minor Importance",5,IF($J247="Standard Importance",10,IF($J247="Critical Importance",20,0)))))</f>
        <v>N/A</v>
      </c>
      <c r="P247" s="114" t="str">
        <f t="shared" si="49"/>
        <v>N/A</v>
      </c>
      <c r="Q247" s="114">
        <f t="shared" si="42"/>
        <v>0</v>
      </c>
      <c r="R247" s="114">
        <f t="shared" si="50"/>
        <v>0</v>
      </c>
      <c r="S247" s="114">
        <f t="shared" si="43"/>
        <v>0</v>
      </c>
      <c r="T247" s="114">
        <f t="shared" si="44"/>
        <v>0</v>
      </c>
      <c r="U247" s="114">
        <f t="shared" si="51"/>
        <v>66</v>
      </c>
      <c r="V247" s="114">
        <f t="shared" si="45"/>
        <v>0</v>
      </c>
    </row>
    <row r="248" spans="1:22" ht="60">
      <c r="A248" s="10" t="str">
        <f>Questions!$A248</f>
        <v>PDOC-02</v>
      </c>
      <c r="B248" s="10" t="str">
        <f t="shared" si="46"/>
        <v>PDOC</v>
      </c>
      <c r="C248" s="10" t="str">
        <f>VLOOKUP($A248,Questions!$A$3:$L$333,2,0)&amp;""</f>
        <v>Do you conform with a specific industry-standard privacy framework (e.g., NIST Privacy Framework, GDPR, ISO 27701)?</v>
      </c>
      <c r="D248" s="10" t="str">
        <f>VLOOKUP($A248,Questions!$A$3:$L$333,11,0)&amp;""</f>
        <v/>
      </c>
      <c r="E248" s="10" t="str">
        <f>VLOOKUP($A248,Questions!$A$3:$L$333,12,0)&amp;""</f>
        <v>Privacy</v>
      </c>
      <c r="F248" s="10" t="str">
        <f>VLOOKUP($A248,'Privacy Analyst Evaluation'!$A$46:$K$120,3,0)&amp;""</f>
        <v>yes</v>
      </c>
      <c r="G248" s="10" t="str">
        <f>VLOOKUP($A248,'Privacy Analyst Evaluation'!$A$46:$K$120,7,0)&amp;""</f>
        <v>Yes</v>
      </c>
      <c r="H248" s="10" t="str">
        <f>VLOOKUP($A248,'Privacy Analyst Evaluation'!$A$46:$K$120,8,0)&amp;""</f>
        <v/>
      </c>
      <c r="I248" s="10" t="str">
        <f>VLOOKUP($A248,'Privacy Analyst Evaluation'!$A$46:$K$120,9,0)&amp;""</f>
        <v>Standard Importance</v>
      </c>
      <c r="J248" s="10" t="str">
        <f>VLOOKUP($A248,'Privacy Analyst Evaluation'!$A$46:$K$120,10,0)&amp;""</f>
        <v/>
      </c>
      <c r="K248" s="10">
        <f t="shared" si="47"/>
        <v>10</v>
      </c>
      <c r="L248" s="114">
        <f>IF($E248="Not Scored", "N/A",IF(AND($D248='Auto Responses'!$J$27,$H248=""),"N/A",IF(AND($D248='Auto Responses'!$J$27,$H248='Auto Responses'!$J$7),1,IF(AND($D248='Auto Responses'!$J$27,$H248='Auto Responses'!$J$8),0,IF(OR($F248=$G248,$H248='Auto Responses'!$J$7),1,0)))))</f>
        <v>1</v>
      </c>
      <c r="M248" s="10" t="str">
        <f>VLOOKUP($A248,'Privacy Analyst Evaluation'!$A$46:$K$120,10,0)&amp;""</f>
        <v/>
      </c>
      <c r="N248" s="10">
        <f t="shared" si="48"/>
        <v>0</v>
      </c>
      <c r="O248" s="114">
        <f t="shared" si="58"/>
        <v>10</v>
      </c>
      <c r="P248" s="114">
        <f t="shared" si="49"/>
        <v>10</v>
      </c>
      <c r="Q248" s="114">
        <f t="shared" si="42"/>
        <v>0</v>
      </c>
      <c r="R248" s="114">
        <f t="shared" si="50"/>
        <v>0</v>
      </c>
      <c r="S248" s="114">
        <f t="shared" si="43"/>
        <v>0</v>
      </c>
      <c r="T248" s="114">
        <f t="shared" si="44"/>
        <v>0</v>
      </c>
      <c r="U248" s="114">
        <f t="shared" si="51"/>
        <v>66</v>
      </c>
      <c r="V248" s="114">
        <f t="shared" si="45"/>
        <v>0</v>
      </c>
    </row>
    <row r="249" spans="1:22" ht="60">
      <c r="A249" s="10" t="str">
        <f>Questions!$A249</f>
        <v>PDOC-03</v>
      </c>
      <c r="B249" s="10" t="str">
        <f t="shared" si="46"/>
        <v>PDOC</v>
      </c>
      <c r="C249" s="10" t="str">
        <f>VLOOKUP($A249,Questions!$A$3:$L$333,2,0)&amp;""</f>
        <v>Does your employee onboarding and offboarding policy include training of employees on information security and data privacy?</v>
      </c>
      <c r="D249" s="10" t="str">
        <f>VLOOKUP($A249,Questions!$A$3:$L$333,11,0)&amp;""</f>
        <v/>
      </c>
      <c r="E249" s="10" t="str">
        <f>VLOOKUP($A249,Questions!$A$3:$L$333,12,0)&amp;""</f>
        <v>Privacy</v>
      </c>
      <c r="F249" s="10" t="str">
        <f>VLOOKUP($A249,'Privacy Analyst Evaluation'!$A$46:$K$120,3,0)&amp;""</f>
        <v>No</v>
      </c>
      <c r="G249" s="10" t="str">
        <f>VLOOKUP($A249,'Privacy Analyst Evaluation'!$A$46:$K$120,7,0)&amp;""</f>
        <v>Yes</v>
      </c>
      <c r="H249" s="10" t="str">
        <f>VLOOKUP($A249,'Privacy Analyst Evaluation'!$A$46:$K$120,8,0)&amp;""</f>
        <v/>
      </c>
      <c r="I249" s="10" t="str">
        <f>VLOOKUP($A249,'Privacy Analyst Evaluation'!$A$46:$K$120,9,0)&amp;""</f>
        <v>Standard Importance</v>
      </c>
      <c r="J249" s="10" t="str">
        <f>VLOOKUP($A249,'Privacy Analyst Evaluation'!$A$46:$K$120,10,0)&amp;""</f>
        <v/>
      </c>
      <c r="K249" s="10">
        <f t="shared" si="47"/>
        <v>10</v>
      </c>
      <c r="L249" s="114">
        <f>IF($E249="Not Scored", "N/A",IF(AND($D249='Auto Responses'!$J$27,$H249=""),"N/A",IF(AND($D249='Auto Responses'!$J$27,$H249='Auto Responses'!$J$7),1,IF(AND($D249='Auto Responses'!$J$27,$H249='Auto Responses'!$J$8),0,IF(OR($F249=$G249,$H249='Auto Responses'!$J$7),1,0)))))</f>
        <v>0</v>
      </c>
      <c r="M249" s="10" t="str">
        <f>VLOOKUP($A249,'Privacy Analyst Evaluation'!$A$46:$K$120,10,0)&amp;""</f>
        <v/>
      </c>
      <c r="N249" s="10">
        <f t="shared" si="48"/>
        <v>0</v>
      </c>
      <c r="O249" s="114">
        <f t="shared" si="58"/>
        <v>10</v>
      </c>
      <c r="P249" s="114">
        <f t="shared" si="49"/>
        <v>0</v>
      </c>
      <c r="Q249" s="114">
        <f t="shared" si="42"/>
        <v>0</v>
      </c>
      <c r="R249" s="114">
        <f t="shared" si="50"/>
        <v>0</v>
      </c>
      <c r="S249" s="114">
        <f t="shared" si="43"/>
        <v>0</v>
      </c>
      <c r="T249" s="114">
        <f t="shared" si="44"/>
        <v>0</v>
      </c>
      <c r="U249" s="114">
        <f t="shared" si="51"/>
        <v>66</v>
      </c>
      <c r="V249" s="114">
        <f t="shared" si="45"/>
        <v>0</v>
      </c>
    </row>
    <row r="250" spans="1:22" ht="60">
      <c r="A250" s="10" t="str">
        <f>Questions!$A250</f>
        <v>PTHP-01</v>
      </c>
      <c r="B250" s="10" t="str">
        <f t="shared" si="46"/>
        <v>PTHP</v>
      </c>
      <c r="C250" s="10" t="str">
        <f>VLOOKUP($A250,Questions!$A$3:$L$333,2,0)&amp;""</f>
        <v>Do you have contractual agreements with third parties that require them to maintain standards and to comply with all regulatory requirements?*</v>
      </c>
      <c r="D250" s="10" t="str">
        <f>VLOOKUP($A250,Questions!$A$3:$L$333,11,0)&amp;""</f>
        <v/>
      </c>
      <c r="E250" s="10" t="str">
        <f>VLOOKUP($A250,Questions!$A$3:$L$333,12,0)&amp;""</f>
        <v>Privacy</v>
      </c>
      <c r="F250" s="10" t="str">
        <f>VLOOKUP($A250,'Privacy Analyst Evaluation'!$A$46:$K$120,3,0)&amp;""</f>
        <v>yes</v>
      </c>
      <c r="G250" s="10" t="str">
        <f>VLOOKUP($A250,'Privacy Analyst Evaluation'!$A$46:$K$120,7,0)&amp;""</f>
        <v>Yes</v>
      </c>
      <c r="H250" s="10" t="str">
        <f>VLOOKUP($A250,'Privacy Analyst Evaluation'!$A$46:$K$120,8,0)&amp;""</f>
        <v/>
      </c>
      <c r="I250" s="10" t="str">
        <f>VLOOKUP($A250,'Privacy Analyst Evaluation'!$A$46:$K$120,9,0)&amp;""</f>
        <v>Critical Importance</v>
      </c>
      <c r="J250" s="10" t="str">
        <f>VLOOKUP($A250,'Privacy Analyst Evaluation'!$A$46:$K$120,10,0)&amp;""</f>
        <v/>
      </c>
      <c r="K250" s="10">
        <f t="shared" si="47"/>
        <v>20</v>
      </c>
      <c r="L250" s="114">
        <f>IF($E250="Not Scored", "N/A",IF(AND($D250='Auto Responses'!$J$27,$H250=""),"N/A",IF(AND($D250='Auto Responses'!$J$27,$H250='Auto Responses'!$J$7),1,IF(AND($D250='Auto Responses'!$J$27,$H250='Auto Responses'!$J$8),0,IF(OR($F250=$G250,$H250='Auto Responses'!$J$7),1,0)))))</f>
        <v>1</v>
      </c>
      <c r="M250" s="10" t="str">
        <f>VLOOKUP($A250,'Privacy Analyst Evaluation'!$A$46:$K$120,10,0)&amp;""</f>
        <v/>
      </c>
      <c r="N250" s="10">
        <f t="shared" si="48"/>
        <v>1</v>
      </c>
      <c r="O250" s="114">
        <f t="shared" si="58"/>
        <v>20</v>
      </c>
      <c r="P250" s="114">
        <f t="shared" si="49"/>
        <v>20</v>
      </c>
      <c r="Q250" s="114">
        <f t="shared" si="42"/>
        <v>0</v>
      </c>
      <c r="R250" s="114">
        <f t="shared" si="50"/>
        <v>0</v>
      </c>
      <c r="S250" s="114">
        <f t="shared" si="43"/>
        <v>0</v>
      </c>
      <c r="T250" s="114">
        <f t="shared" si="44"/>
        <v>1</v>
      </c>
      <c r="U250" s="114">
        <f t="shared" si="51"/>
        <v>67</v>
      </c>
      <c r="V250" s="114">
        <f t="shared" si="45"/>
        <v>67</v>
      </c>
    </row>
    <row r="251" spans="1:22" ht="75">
      <c r="A251" s="10" t="str">
        <f>Questions!$A251</f>
        <v>PTHP-02</v>
      </c>
      <c r="B251" s="10" t="str">
        <f t="shared" si="46"/>
        <v>PTHP</v>
      </c>
      <c r="C251" s="10" t="str">
        <f>VLOOKUP($A251,Questions!$A$3:$L$333,2,0)&amp;""</f>
        <v xml:space="preserve">Do you perform privacy impact assesments of third parties that collect, process, or have access to personal data to ensure they meet industry and regulatory standards and to mitigate harmful, unethical, or discriminatory impacts on data subjects? </v>
      </c>
      <c r="D251" s="10" t="str">
        <f>VLOOKUP($A251,Questions!$A$3:$L$333,11,0)&amp;""</f>
        <v/>
      </c>
      <c r="E251" s="10" t="str">
        <f>VLOOKUP($A251,Questions!$A$3:$L$333,12,0)&amp;""</f>
        <v>Privacy</v>
      </c>
      <c r="F251" s="10" t="str">
        <f>VLOOKUP($A251,'Privacy Analyst Evaluation'!$A$46:$K$120,3,0)&amp;""</f>
        <v>No</v>
      </c>
      <c r="G251" s="10" t="str">
        <f>VLOOKUP($A251,'Privacy Analyst Evaluation'!$A$46:$K$120,7,0)&amp;""</f>
        <v>Yes</v>
      </c>
      <c r="H251" s="10" t="str">
        <f>VLOOKUP($A251,'Privacy Analyst Evaluation'!$A$46:$K$120,8,0)&amp;""</f>
        <v/>
      </c>
      <c r="I251" s="10" t="str">
        <f>VLOOKUP($A251,'Privacy Analyst Evaluation'!$A$46:$K$120,9,0)&amp;""</f>
        <v>Minor Importance</v>
      </c>
      <c r="J251" s="10" t="str">
        <f>VLOOKUP($A251,'Privacy Analyst Evaluation'!$A$46:$K$120,10,0)&amp;""</f>
        <v/>
      </c>
      <c r="K251" s="10">
        <f t="shared" si="47"/>
        <v>5</v>
      </c>
      <c r="L251" s="114">
        <f>IF($E251="Not Scored", "N/A",IF(AND($D251='Auto Responses'!$J$27,$H251=""),"N/A",IF(AND($D251='Auto Responses'!$J$27,$H251='Auto Responses'!$J$7),1,IF(AND($D251='Auto Responses'!$J$27,$H251='Auto Responses'!$J$8),0,IF(OR($F251=$G251,$H251='Auto Responses'!$J$7),1,0)))))</f>
        <v>0</v>
      </c>
      <c r="M251" s="10" t="str">
        <f>VLOOKUP($A251,'Privacy Analyst Evaluation'!$A$46:$K$120,10,0)&amp;""</f>
        <v/>
      </c>
      <c r="N251" s="10">
        <f t="shared" si="48"/>
        <v>0</v>
      </c>
      <c r="O251" s="114">
        <f t="shared" si="58"/>
        <v>5</v>
      </c>
      <c r="P251" s="114">
        <f t="shared" si="49"/>
        <v>0</v>
      </c>
      <c r="Q251" s="114">
        <f t="shared" si="42"/>
        <v>0</v>
      </c>
      <c r="R251" s="114">
        <f t="shared" si="50"/>
        <v>0</v>
      </c>
      <c r="S251" s="114">
        <f t="shared" si="43"/>
        <v>0</v>
      </c>
      <c r="T251" s="114">
        <f t="shared" si="44"/>
        <v>0</v>
      </c>
      <c r="U251" s="114">
        <f t="shared" si="51"/>
        <v>67</v>
      </c>
      <c r="V251" s="114">
        <f t="shared" si="45"/>
        <v>0</v>
      </c>
    </row>
    <row r="252" spans="1:22" ht="60">
      <c r="A252" s="10" t="str">
        <f>Questions!$A252</f>
        <v>PCHG-01</v>
      </c>
      <c r="B252" s="10" t="str">
        <f t="shared" si="46"/>
        <v>PCHG</v>
      </c>
      <c r="C252" s="10" t="str">
        <f>VLOOKUP($A252,Questions!$A$3:$L$333,2,0)&amp;""</f>
        <v>Does your change management process include privacy review and approval?</v>
      </c>
      <c r="D252" s="10" t="str">
        <f>VLOOKUP($A252,Questions!$A$3:$L$333,11,0)&amp;""</f>
        <v/>
      </c>
      <c r="E252" s="10" t="str">
        <f>VLOOKUP($A252,Questions!$A$3:$L$333,12,0)&amp;""</f>
        <v>Privacy</v>
      </c>
      <c r="F252" s="10" t="str">
        <f>VLOOKUP($A252,'Privacy Analyst Evaluation'!$A$46:$K$120,3,0)&amp;""</f>
        <v>yes</v>
      </c>
      <c r="G252" s="10" t="str">
        <f>VLOOKUP($A252,'Privacy Analyst Evaluation'!$A$46:$K$120,7,0)&amp;""</f>
        <v>Yes</v>
      </c>
      <c r="H252" s="10" t="str">
        <f>VLOOKUP($A252,'Privacy Analyst Evaluation'!$A$46:$K$120,8,0)&amp;""</f>
        <v/>
      </c>
      <c r="I252" s="10" t="str">
        <f>VLOOKUP($A252,'Privacy Analyst Evaluation'!$A$46:$K$120,9,0)&amp;""</f>
        <v>Standard Importance</v>
      </c>
      <c r="J252" s="10" t="str">
        <f>VLOOKUP($A252,'Privacy Analyst Evaluation'!$A$46:$K$120,10,0)&amp;""</f>
        <v/>
      </c>
      <c r="K252" s="10">
        <f t="shared" si="47"/>
        <v>10</v>
      </c>
      <c r="L252" s="114">
        <f>IF($E252="Not Scored", "N/A",IF(AND($D252='Auto Responses'!$J$27,$H252=""),"N/A",IF(AND($D252='Auto Responses'!$J$27,$H252='Auto Responses'!$J$7),1,IF(AND($D252='Auto Responses'!$J$27,$H252='Auto Responses'!$J$8),0,IF(OR($F252=$G252,$H252='Auto Responses'!$J$7),1,0)))))</f>
        <v>1</v>
      </c>
      <c r="M252" s="10" t="str">
        <f>VLOOKUP($A252,'Privacy Analyst Evaluation'!$A$46:$K$120,10,0)&amp;""</f>
        <v/>
      </c>
      <c r="N252" s="10">
        <f t="shared" si="48"/>
        <v>0</v>
      </c>
      <c r="O252" s="114">
        <f t="shared" si="58"/>
        <v>10</v>
      </c>
      <c r="P252" s="114">
        <f t="shared" si="49"/>
        <v>10</v>
      </c>
      <c r="Q252" s="114">
        <f t="shared" si="42"/>
        <v>0</v>
      </c>
      <c r="R252" s="114">
        <f t="shared" si="50"/>
        <v>0</v>
      </c>
      <c r="S252" s="114">
        <f t="shared" si="43"/>
        <v>0</v>
      </c>
      <c r="T252" s="114">
        <f t="shared" si="44"/>
        <v>0</v>
      </c>
      <c r="U252" s="114">
        <f t="shared" si="51"/>
        <v>67</v>
      </c>
      <c r="V252" s="114">
        <f t="shared" si="45"/>
        <v>0</v>
      </c>
    </row>
    <row r="253" spans="1:22" ht="60">
      <c r="A253" s="10" t="str">
        <f>Questions!$A253</f>
        <v>PCHG-02</v>
      </c>
      <c r="B253" s="10" t="str">
        <f t="shared" si="46"/>
        <v>PCHG</v>
      </c>
      <c r="C253" s="10" t="str">
        <f>VLOOKUP($A253,Questions!$A$3:$L$333,2,0)&amp;""</f>
        <v>Do you have policy and procedure, currently implemented, guiding how privacy risks are mitigated until they can be resolved?</v>
      </c>
      <c r="D253" s="10" t="str">
        <f>VLOOKUP($A253,Questions!$A$3:$L$333,11,0)&amp;""</f>
        <v/>
      </c>
      <c r="E253" s="10" t="str">
        <f>VLOOKUP($A253,Questions!$A$3:$L$333,12,0)&amp;""</f>
        <v>Privacy</v>
      </c>
      <c r="F253" s="10" t="str">
        <f>VLOOKUP($A253,'Privacy Analyst Evaluation'!$A$46:$K$120,3,0)&amp;""</f>
        <v>No</v>
      </c>
      <c r="G253" s="10" t="str">
        <f>VLOOKUP($A253,'Privacy Analyst Evaluation'!$A$46:$K$120,7,0)&amp;""</f>
        <v>Yes</v>
      </c>
      <c r="H253" s="10" t="str">
        <f>VLOOKUP($A253,'Privacy Analyst Evaluation'!$A$46:$K$120,8,0)&amp;""</f>
        <v/>
      </c>
      <c r="I253" s="10" t="str">
        <f>VLOOKUP($A253,'Privacy Analyst Evaluation'!$A$46:$K$120,9,0)&amp;""</f>
        <v>Minor Importance</v>
      </c>
      <c r="J253" s="10" t="str">
        <f>VLOOKUP($A253,'Privacy Analyst Evaluation'!$A$46:$K$120,10,0)&amp;""</f>
        <v/>
      </c>
      <c r="K253" s="10">
        <f t="shared" si="47"/>
        <v>5</v>
      </c>
      <c r="L253" s="114">
        <f>IF($E253="Not Scored", "N/A",IF(AND($D253='Auto Responses'!$J$27,$H253=""),"N/A",IF(AND($D253='Auto Responses'!$J$27,$H253='Auto Responses'!$J$7),1,IF(AND($D253='Auto Responses'!$J$27,$H253='Auto Responses'!$J$8),0,IF(OR($F253=$G253,$H253='Auto Responses'!$J$7),1,0)))))</f>
        <v>0</v>
      </c>
      <c r="M253" s="10" t="str">
        <f>VLOOKUP($A253,'Privacy Analyst Evaluation'!$A$46:$K$120,10,0)&amp;""</f>
        <v/>
      </c>
      <c r="N253" s="10">
        <f t="shared" si="48"/>
        <v>0</v>
      </c>
      <c r="O253" s="114">
        <f t="shared" si="58"/>
        <v>5</v>
      </c>
      <c r="P253" s="114">
        <f t="shared" si="49"/>
        <v>0</v>
      </c>
      <c r="Q253" s="114">
        <f t="shared" si="42"/>
        <v>0</v>
      </c>
      <c r="R253" s="114">
        <f t="shared" si="50"/>
        <v>0</v>
      </c>
      <c r="S253" s="114">
        <f t="shared" si="43"/>
        <v>0</v>
      </c>
      <c r="T253" s="114">
        <f t="shared" si="44"/>
        <v>0</v>
      </c>
      <c r="U253" s="114">
        <f t="shared" si="51"/>
        <v>67</v>
      </c>
      <c r="V253" s="114">
        <f t="shared" si="45"/>
        <v>0</v>
      </c>
    </row>
    <row r="254" spans="1:22" ht="60">
      <c r="A254" s="10" t="str">
        <f>Questions!$A254</f>
        <v>PDAT-01</v>
      </c>
      <c r="B254" s="10" t="str">
        <f t="shared" si="46"/>
        <v>PDAT</v>
      </c>
      <c r="C254" s="10" t="str">
        <f>VLOOKUP($A254,Questions!$A$3:$L$333,2,0)&amp;""</f>
        <v>Do you collect, process, or store demographic information?*</v>
      </c>
      <c r="D254" s="10" t="str">
        <f>VLOOKUP($A254,Questions!$A$3:$L$333,11,0)&amp;""</f>
        <v/>
      </c>
      <c r="E254" s="10" t="str">
        <f>VLOOKUP($A254,Questions!$A$3:$L$333,12,0)&amp;""</f>
        <v>Privacy</v>
      </c>
      <c r="F254" s="10" t="str">
        <f>VLOOKUP($A254,'Privacy Analyst Evaluation'!$A$46:$K$120,3,0)&amp;""</f>
        <v>no</v>
      </c>
      <c r="G254" s="10" t="str">
        <f>VLOOKUP($A254,'Privacy Analyst Evaluation'!$A$46:$K$120,7,0)&amp;""</f>
        <v>No</v>
      </c>
      <c r="H254" s="10" t="str">
        <f>VLOOKUP($A254,'Privacy Analyst Evaluation'!$A$46:$K$120,8,0)&amp;""</f>
        <v/>
      </c>
      <c r="I254" s="10" t="str">
        <f>VLOOKUP($A254,'Privacy Analyst Evaluation'!$A$46:$K$120,9,0)&amp;""</f>
        <v>Critical Importance</v>
      </c>
      <c r="J254" s="10" t="str">
        <f>VLOOKUP($A254,'Privacy Analyst Evaluation'!$A$46:$K$120,10,0)&amp;""</f>
        <v/>
      </c>
      <c r="K254" s="10">
        <f t="shared" si="47"/>
        <v>20</v>
      </c>
      <c r="L254" s="114">
        <f>IF($E254="Not Scored", "N/A",IF(AND($D254='Auto Responses'!$J$27,$H254=""),"N/A",IF(AND($D254='Auto Responses'!$J$27,$H254='Auto Responses'!$J$7),1,IF(AND($D254='Auto Responses'!$J$27,$H254='Auto Responses'!$J$8),0,IF(OR($F254=$G254,$H254='Auto Responses'!$J$7),1,0)))))</f>
        <v>1</v>
      </c>
      <c r="M254" s="10" t="str">
        <f>VLOOKUP($A254,'Privacy Analyst Evaluation'!$A$46:$K$120,10,0)&amp;""</f>
        <v/>
      </c>
      <c r="N254" s="10">
        <f t="shared" si="48"/>
        <v>1</v>
      </c>
      <c r="O254" s="114">
        <f t="shared" si="58"/>
        <v>20</v>
      </c>
      <c r="P254" s="114">
        <f t="shared" si="49"/>
        <v>20</v>
      </c>
      <c r="Q254" s="114">
        <f t="shared" ref="Q254:Q316" si="59">IF(M254="TRUE",1,0)</f>
        <v>0</v>
      </c>
      <c r="R254" s="114">
        <f t="shared" si="50"/>
        <v>0</v>
      </c>
      <c r="S254" s="114">
        <f t="shared" ref="S254:S316" si="60">IF(Q254=0,0,R254)</f>
        <v>0</v>
      </c>
      <c r="T254" s="114">
        <f t="shared" ref="T254:T316" si="61">IF(N254=1,1,0)</f>
        <v>1</v>
      </c>
      <c r="U254" s="114">
        <f t="shared" si="51"/>
        <v>68</v>
      </c>
      <c r="V254" s="114">
        <f t="shared" ref="V254:V316" si="62">IF(T254=0,0,U254)</f>
        <v>68</v>
      </c>
    </row>
    <row r="255" spans="1:22" ht="60">
      <c r="A255" s="10" t="str">
        <f>Questions!$A255</f>
        <v>PDAT-02</v>
      </c>
      <c r="B255" s="10" t="str">
        <f t="shared" ref="B255:B317" si="63">LEFT(A255,4)</f>
        <v>PDAT</v>
      </c>
      <c r="C255" s="10" t="str">
        <f>VLOOKUP($A255,Questions!$A$3:$L$333,2,0)&amp;""</f>
        <v>Do you capture or create genetic, biometric, or behaviometric information (e.g.,  facial recognition or fingerprints)?*</v>
      </c>
      <c r="D255" s="10" t="str">
        <f>VLOOKUP($A255,Questions!$A$3:$L$333,11,0)&amp;""</f>
        <v/>
      </c>
      <c r="E255" s="10" t="str">
        <f>VLOOKUP($A255,Questions!$A$3:$L$333,12,0)&amp;""</f>
        <v>Privacy</v>
      </c>
      <c r="F255" s="10" t="str">
        <f>VLOOKUP($A255,'Privacy Analyst Evaluation'!$A$46:$K$120,3,0)&amp;""</f>
        <v>no</v>
      </c>
      <c r="G255" s="10" t="str">
        <f>VLOOKUP($A255,'Privacy Analyst Evaluation'!$A$46:$K$120,7,0)&amp;""</f>
        <v>No</v>
      </c>
      <c r="H255" s="10" t="str">
        <f>VLOOKUP($A255,'Privacy Analyst Evaluation'!$A$46:$K$120,8,0)&amp;""</f>
        <v/>
      </c>
      <c r="I255" s="10" t="str">
        <f>VLOOKUP($A255,'Privacy Analyst Evaluation'!$A$46:$K$120,9,0)&amp;""</f>
        <v>Critical Importance</v>
      </c>
      <c r="J255" s="10" t="str">
        <f>VLOOKUP($A255,'Privacy Analyst Evaluation'!$A$46:$K$120,10,0)&amp;""</f>
        <v/>
      </c>
      <c r="K255" s="10">
        <f t="shared" ref="K255:K317" si="64">IF($I255="Critical Importance",20,IF($I255="Minor Importance",5,10))</f>
        <v>20</v>
      </c>
      <c r="L255" s="114">
        <f>IF($E255="Not Scored", "N/A",IF(AND($D255='Auto Responses'!$J$27,$H255=""),"N/A",IF(AND($D255='Auto Responses'!$J$27,$H255='Auto Responses'!$J$7),1,IF(AND($D255='Auto Responses'!$J$27,$H255='Auto Responses'!$J$8),0,IF(OR($F255=$G255,$H255='Auto Responses'!$J$7),1,0)))))</f>
        <v>1</v>
      </c>
      <c r="M255" s="10" t="str">
        <f>VLOOKUP($A255,'Privacy Analyst Evaluation'!$A$46:$K$120,10,0)&amp;""</f>
        <v/>
      </c>
      <c r="N255" s="10">
        <f t="shared" ref="N255:N317" si="65">IF($J255="Critical Importance",1,IF(AND($J255="",$I255="Critical Importance"),1,0))</f>
        <v>1</v>
      </c>
      <c r="O255" s="114">
        <f t="shared" si="58"/>
        <v>20</v>
      </c>
      <c r="P255" s="114">
        <f t="shared" ref="P255:P317" si="66">IF(OR($O255="N/A",$L255="N/A"),"N/A",$O255*$L255)</f>
        <v>20</v>
      </c>
      <c r="Q255" s="114">
        <f t="shared" si="59"/>
        <v>0</v>
      </c>
      <c r="R255" s="114">
        <f t="shared" si="50"/>
        <v>0</v>
      </c>
      <c r="S255" s="114">
        <f t="shared" si="60"/>
        <v>0</v>
      </c>
      <c r="T255" s="114">
        <f t="shared" si="61"/>
        <v>1</v>
      </c>
      <c r="U255" s="114">
        <f t="shared" si="51"/>
        <v>69</v>
      </c>
      <c r="V255" s="114">
        <f t="shared" si="62"/>
        <v>69</v>
      </c>
    </row>
    <row r="256" spans="1:22" ht="60">
      <c r="A256" s="10" t="str">
        <f>Questions!$A256</f>
        <v>PDAT-03</v>
      </c>
      <c r="B256" s="10" t="str">
        <f t="shared" si="63"/>
        <v>PDAT</v>
      </c>
      <c r="C256" s="10" t="str">
        <f>VLOOKUP($A256,Questions!$A$3:$L$333,2,0)&amp;""</f>
        <v>Do you combine institutional data (including "de-identified," "anonymized," or otherwise masked data) with personal data from any other sources?*</v>
      </c>
      <c r="D256" s="10" t="str">
        <f>VLOOKUP($A256,Questions!$A$3:$L$333,11,0)&amp;""</f>
        <v/>
      </c>
      <c r="E256" s="10" t="str">
        <f>VLOOKUP($A256,Questions!$A$3:$L$333,12,0)&amp;""</f>
        <v>Privacy</v>
      </c>
      <c r="F256" s="10" t="str">
        <f>VLOOKUP($A256,'Privacy Analyst Evaluation'!$A$46:$K$120,3,0)&amp;""</f>
        <v>no</v>
      </c>
      <c r="G256" s="10" t="str">
        <f>VLOOKUP($A256,'Privacy Analyst Evaluation'!$A$46:$K$120,7,0)&amp;""</f>
        <v>No</v>
      </c>
      <c r="H256" s="10" t="str">
        <f>VLOOKUP($A256,'Privacy Analyst Evaluation'!$A$46:$K$120,8,0)&amp;""</f>
        <v/>
      </c>
      <c r="I256" s="10" t="str">
        <f>VLOOKUP($A256,'Privacy Analyst Evaluation'!$A$46:$K$120,9,0)&amp;""</f>
        <v>Critical Importance</v>
      </c>
      <c r="J256" s="10" t="str">
        <f>VLOOKUP($A256,'Privacy Analyst Evaluation'!$A$46:$K$120,10,0)&amp;""</f>
        <v/>
      </c>
      <c r="K256" s="10">
        <f t="shared" si="64"/>
        <v>20</v>
      </c>
      <c r="L256" s="114">
        <f>IF($E256="Not Scored", "N/A",IF(AND($D256='Auto Responses'!$J$27,$H256=""),"N/A",IF(AND($D256='Auto Responses'!$J$27,$H256='Auto Responses'!$J$7),1,IF(AND($D256='Auto Responses'!$J$27,$H256='Auto Responses'!$J$8),0,IF(OR($F256=$G256,$H256='Auto Responses'!$J$7),1,0)))))</f>
        <v>1</v>
      </c>
      <c r="M256" s="10" t="str">
        <f>VLOOKUP($A256,'Privacy Analyst Evaluation'!$A$46:$K$120,10,0)&amp;""</f>
        <v/>
      </c>
      <c r="N256" s="10">
        <f t="shared" si="65"/>
        <v>1</v>
      </c>
      <c r="O256" s="114">
        <f t="shared" si="58"/>
        <v>20</v>
      </c>
      <c r="P256" s="114">
        <f t="shared" si="66"/>
        <v>20</v>
      </c>
      <c r="Q256" s="114">
        <f t="shared" si="59"/>
        <v>0</v>
      </c>
      <c r="R256" s="114">
        <f t="shared" si="50"/>
        <v>0</v>
      </c>
      <c r="S256" s="114">
        <f t="shared" si="60"/>
        <v>0</v>
      </c>
      <c r="T256" s="114">
        <f t="shared" si="61"/>
        <v>1</v>
      </c>
      <c r="U256" s="114">
        <f t="shared" si="51"/>
        <v>70</v>
      </c>
      <c r="V256" s="114">
        <f t="shared" si="62"/>
        <v>70</v>
      </c>
    </row>
    <row r="257" spans="1:22" ht="60">
      <c r="A257" s="10" t="str">
        <f>Questions!$A257</f>
        <v>PDAT-04</v>
      </c>
      <c r="B257" s="10" t="str">
        <f t="shared" si="63"/>
        <v>PDAT</v>
      </c>
      <c r="C257" s="10" t="str">
        <f>VLOOKUP($A257,Questions!$A$3:$L$333,2,0)&amp;""</f>
        <v>Is institutional data coming into or going out of the United States at any point during collection, processing, storage, or archiving?</v>
      </c>
      <c r="D257" s="10" t="str">
        <f>VLOOKUP($A257,Questions!$A$3:$L$333,11,0)&amp;""</f>
        <v/>
      </c>
      <c r="E257" s="10" t="str">
        <f>VLOOKUP($A257,Questions!$A$3:$L$333,12,0)&amp;""</f>
        <v>Privacy</v>
      </c>
      <c r="F257" s="10" t="str">
        <f>VLOOKUP($A257,'Privacy Analyst Evaluation'!$A$46:$K$120,3,0)&amp;""</f>
        <v>no</v>
      </c>
      <c r="G257" s="10" t="str">
        <f>VLOOKUP($A257,'Privacy Analyst Evaluation'!$A$46:$K$120,7,0)&amp;""</f>
        <v>No</v>
      </c>
      <c r="H257" s="10" t="str">
        <f>VLOOKUP($A257,'Privacy Analyst Evaluation'!$A$46:$K$120,8,0)&amp;""</f>
        <v/>
      </c>
      <c r="I257" s="10" t="str">
        <f>VLOOKUP($A257,'Privacy Analyst Evaluation'!$A$46:$K$120,9,0)&amp;""</f>
        <v>Minor Importance</v>
      </c>
      <c r="J257" s="10" t="str">
        <f>VLOOKUP($A257,'Privacy Analyst Evaluation'!$A$46:$K$120,10,0)&amp;""</f>
        <v/>
      </c>
      <c r="K257" s="10">
        <f t="shared" si="64"/>
        <v>5</v>
      </c>
      <c r="L257" s="114">
        <f>IF($E257="Not Scored", "N/A",IF(AND($D257='Auto Responses'!$J$27,$H257=""),"N/A",IF(AND($D257='Auto Responses'!$J$27,$H257='Auto Responses'!$J$7),1,IF(AND($D257='Auto Responses'!$J$27,$H257='Auto Responses'!$J$8),0,IF(OR($F257=$G257,$H257='Auto Responses'!$J$7),1,0)))))</f>
        <v>1</v>
      </c>
      <c r="M257" s="10" t="str">
        <f>VLOOKUP($A257,'Privacy Analyst Evaluation'!$A$46:$K$120,10,0)&amp;""</f>
        <v/>
      </c>
      <c r="N257" s="10">
        <f t="shared" si="65"/>
        <v>0</v>
      </c>
      <c r="O257" s="114">
        <f t="shared" si="58"/>
        <v>5</v>
      </c>
      <c r="P257" s="114">
        <f t="shared" si="66"/>
        <v>5</v>
      </c>
      <c r="Q257" s="114">
        <f t="shared" si="59"/>
        <v>0</v>
      </c>
      <c r="R257" s="114">
        <f t="shared" si="50"/>
        <v>0</v>
      </c>
      <c r="S257" s="114">
        <f t="shared" si="60"/>
        <v>0</v>
      </c>
      <c r="T257" s="114">
        <f t="shared" si="61"/>
        <v>0</v>
      </c>
      <c r="U257" s="114">
        <f t="shared" si="51"/>
        <v>70</v>
      </c>
      <c r="V257" s="114">
        <f t="shared" si="62"/>
        <v>0</v>
      </c>
    </row>
    <row r="258" spans="1:22" ht="60">
      <c r="A258" s="10" t="str">
        <f>Questions!$A258</f>
        <v>PDAT-05</v>
      </c>
      <c r="B258" s="10" t="str">
        <f t="shared" si="63"/>
        <v>PDAT</v>
      </c>
      <c r="C258" s="10" t="str">
        <f>VLOOKUP($A258,Questions!$A$3:$L$333,2,0)&amp;""</f>
        <v>Do you capture device information (e.g., IP address, MAC address)?</v>
      </c>
      <c r="D258" s="10" t="str">
        <f>VLOOKUP($A258,Questions!$A$3:$L$333,11,0)&amp;""</f>
        <v/>
      </c>
      <c r="E258" s="10" t="str">
        <f>VLOOKUP($A258,Questions!$A$3:$L$333,12,0)&amp;""</f>
        <v>Privacy</v>
      </c>
      <c r="F258" s="10" t="str">
        <f>VLOOKUP($A258,'Privacy Analyst Evaluation'!$A$46:$K$120,3,0)&amp;""</f>
        <v>no</v>
      </c>
      <c r="G258" s="10" t="str">
        <f>VLOOKUP($A258,'Privacy Analyst Evaluation'!$A$46:$K$120,7,0)&amp;""</f>
        <v>No</v>
      </c>
      <c r="H258" s="10" t="str">
        <f>VLOOKUP($A258,'Privacy Analyst Evaluation'!$A$46:$K$120,8,0)&amp;""</f>
        <v/>
      </c>
      <c r="I258" s="10" t="str">
        <f>VLOOKUP($A258,'Privacy Analyst Evaluation'!$A$46:$K$120,9,0)&amp;""</f>
        <v>Minor Importance</v>
      </c>
      <c r="J258" s="10" t="str">
        <f>VLOOKUP($A258,'Privacy Analyst Evaluation'!$A$46:$K$120,10,0)&amp;""</f>
        <v/>
      </c>
      <c r="K258" s="10">
        <f t="shared" si="64"/>
        <v>5</v>
      </c>
      <c r="L258" s="114">
        <f>IF($E258="Not Scored", "N/A",IF(AND($D258='Auto Responses'!$J$27,$H258=""),"N/A",IF(AND($D258='Auto Responses'!$J$27,$H258='Auto Responses'!$J$7),1,IF(AND($D258='Auto Responses'!$J$27,$H258='Auto Responses'!$J$8),0,IF(OR($F258=$G258,$H258='Auto Responses'!$J$7),1,0)))))</f>
        <v>1</v>
      </c>
      <c r="M258" s="10" t="str">
        <f>VLOOKUP($A258,'Privacy Analyst Evaluation'!$A$46:$K$120,10,0)&amp;""</f>
        <v/>
      </c>
      <c r="N258" s="10">
        <f t="shared" si="65"/>
        <v>0</v>
      </c>
      <c r="O258" s="114">
        <f t="shared" si="58"/>
        <v>5</v>
      </c>
      <c r="P258" s="114">
        <f t="shared" si="66"/>
        <v>5</v>
      </c>
      <c r="Q258" s="114">
        <f t="shared" si="59"/>
        <v>0</v>
      </c>
      <c r="R258" s="114">
        <f t="shared" si="50"/>
        <v>0</v>
      </c>
      <c r="S258" s="114">
        <f t="shared" si="60"/>
        <v>0</v>
      </c>
      <c r="T258" s="114">
        <f t="shared" si="61"/>
        <v>0</v>
      </c>
      <c r="U258" s="114">
        <f t="shared" si="51"/>
        <v>70</v>
      </c>
      <c r="V258" s="114">
        <f t="shared" si="62"/>
        <v>0</v>
      </c>
    </row>
    <row r="259" spans="1:22" ht="60">
      <c r="A259" s="10" t="str">
        <f>Questions!$A259</f>
        <v>PDAT-06</v>
      </c>
      <c r="B259" s="10" t="str">
        <f t="shared" si="63"/>
        <v>PDAT</v>
      </c>
      <c r="C259" s="10" t="str">
        <f>VLOOKUP($A259,Questions!$A$3:$L$333,2,0)&amp;""</f>
        <v>Does any part of this service/project involve a web/app tracking component (e.g., use of web-tracking pixels, cookies)?</v>
      </c>
      <c r="D259" s="10" t="str">
        <f>VLOOKUP($A259,Questions!$A$3:$L$333,11,0)&amp;""</f>
        <v/>
      </c>
      <c r="E259" s="10" t="str">
        <f>VLOOKUP($A259,Questions!$A$3:$L$333,12,0)&amp;""</f>
        <v>Privacy</v>
      </c>
      <c r="F259" s="10" t="str">
        <f>VLOOKUP($A259,'Privacy Analyst Evaluation'!$A$46:$K$120,3,0)&amp;""</f>
        <v>no</v>
      </c>
      <c r="G259" s="10" t="str">
        <f>VLOOKUP($A259,'Privacy Analyst Evaluation'!$A$46:$K$120,7,0)&amp;""</f>
        <v>No</v>
      </c>
      <c r="H259" s="10" t="str">
        <f>VLOOKUP($A259,'Privacy Analyst Evaluation'!$A$46:$K$120,8,0)&amp;""</f>
        <v/>
      </c>
      <c r="I259" s="10" t="str">
        <f>VLOOKUP($A259,'Privacy Analyst Evaluation'!$A$46:$K$120,9,0)&amp;""</f>
        <v>Minor Importance</v>
      </c>
      <c r="J259" s="10" t="str">
        <f>VLOOKUP($A259,'Privacy Analyst Evaluation'!$A$46:$K$120,10,0)&amp;""</f>
        <v/>
      </c>
      <c r="K259" s="10">
        <f t="shared" si="64"/>
        <v>5</v>
      </c>
      <c r="L259" s="114">
        <f>IF($E259="Not Scored", "N/A",IF(AND($D259='Auto Responses'!$J$27,$H259=""),"N/A",IF(AND($D259='Auto Responses'!$J$27,$H259='Auto Responses'!$J$7),1,IF(AND($D259='Auto Responses'!$J$27,$H259='Auto Responses'!$J$8),0,IF(OR($F259=$G259,$H259='Auto Responses'!$J$7),1,0)))))</f>
        <v>1</v>
      </c>
      <c r="M259" s="10" t="str">
        <f>VLOOKUP($A259,'Privacy Analyst Evaluation'!$A$46:$K$120,10,0)&amp;""</f>
        <v/>
      </c>
      <c r="N259" s="10">
        <f t="shared" si="65"/>
        <v>0</v>
      </c>
      <c r="O259" s="114">
        <f t="shared" si="58"/>
        <v>5</v>
      </c>
      <c r="P259" s="114">
        <f t="shared" si="66"/>
        <v>5</v>
      </c>
      <c r="Q259" s="114">
        <f t="shared" si="59"/>
        <v>0</v>
      </c>
      <c r="R259" s="114">
        <f t="shared" si="50"/>
        <v>0</v>
      </c>
      <c r="S259" s="114">
        <f t="shared" si="60"/>
        <v>0</v>
      </c>
      <c r="T259" s="114">
        <f t="shared" si="61"/>
        <v>0</v>
      </c>
      <c r="U259" s="114">
        <f t="shared" si="51"/>
        <v>70</v>
      </c>
      <c r="V259" s="114">
        <f t="shared" si="62"/>
        <v>0</v>
      </c>
    </row>
    <row r="260" spans="1:22" ht="60">
      <c r="A260" s="10" t="str">
        <f>Questions!$A260</f>
        <v>PDAT-07</v>
      </c>
      <c r="B260" s="10" t="str">
        <f t="shared" si="63"/>
        <v>PDAT</v>
      </c>
      <c r="C260" s="10" t="str">
        <f>VLOOKUP($A260,Questions!$A$3:$L$333,2,0)&amp;""</f>
        <v>Does your staff (or a third party) have access to institutional data (e.g., financial, PHI, or other sensitive information) through any means?</v>
      </c>
      <c r="D260" s="10" t="str">
        <f>VLOOKUP($A260,Questions!$A$3:$L$333,11,0)&amp;""</f>
        <v/>
      </c>
      <c r="E260" s="10" t="str">
        <f>VLOOKUP($A260,Questions!$A$3:$L$333,12,0)&amp;""</f>
        <v>Privacy</v>
      </c>
      <c r="F260" s="10" t="str">
        <f>VLOOKUP($A260,'Privacy Analyst Evaluation'!$A$46:$K$120,3,0)&amp;""</f>
        <v>no</v>
      </c>
      <c r="G260" s="10" t="str">
        <f>VLOOKUP($A260,'Privacy Analyst Evaluation'!$A$46:$K$120,7,0)&amp;""</f>
        <v>No</v>
      </c>
      <c r="H260" s="10" t="str">
        <f>VLOOKUP($A260,'Privacy Analyst Evaluation'!$A$46:$K$120,8,0)&amp;""</f>
        <v/>
      </c>
      <c r="I260" s="10" t="str">
        <f>VLOOKUP($A260,'Privacy Analyst Evaluation'!$A$46:$K$120,9,0)&amp;""</f>
        <v>Minor Importance</v>
      </c>
      <c r="J260" s="10" t="str">
        <f>VLOOKUP($A260,'Privacy Analyst Evaluation'!$A$46:$K$120,10,0)&amp;""</f>
        <v/>
      </c>
      <c r="K260" s="10">
        <f t="shared" si="64"/>
        <v>5</v>
      </c>
      <c r="L260" s="114">
        <f>IF($E260="Not Scored", "N/A",IF(AND($D260='Auto Responses'!$J$27,$H260=""),"N/A",IF(AND($D260='Auto Responses'!$J$27,$H260='Auto Responses'!$J$7),1,IF(AND($D260='Auto Responses'!$J$27,$H260='Auto Responses'!$J$8),0,IF(OR($F260=$G260,$H260='Auto Responses'!$J$7),1,0)))))</f>
        <v>1</v>
      </c>
      <c r="M260" s="10" t="str">
        <f>VLOOKUP($A260,'Privacy Analyst Evaluation'!$A$46:$K$120,10,0)&amp;""</f>
        <v/>
      </c>
      <c r="N260" s="10">
        <f t="shared" si="65"/>
        <v>0</v>
      </c>
      <c r="O260" s="114">
        <f t="shared" si="58"/>
        <v>5</v>
      </c>
      <c r="P260" s="114">
        <f t="shared" si="66"/>
        <v>5</v>
      </c>
      <c r="Q260" s="114">
        <f t="shared" si="59"/>
        <v>0</v>
      </c>
      <c r="R260" s="114">
        <f t="shared" si="50"/>
        <v>0</v>
      </c>
      <c r="S260" s="114">
        <f t="shared" si="60"/>
        <v>0</v>
      </c>
      <c r="T260" s="114">
        <f t="shared" si="61"/>
        <v>0</v>
      </c>
      <c r="U260" s="114">
        <f t="shared" si="51"/>
        <v>70</v>
      </c>
      <c r="V260" s="114">
        <f t="shared" si="62"/>
        <v>0</v>
      </c>
    </row>
    <row r="261" spans="1:22" ht="60">
      <c r="A261" s="10" t="str">
        <f>Questions!$A261</f>
        <v>PDAT-08</v>
      </c>
      <c r="B261" s="10" t="str">
        <f t="shared" si="63"/>
        <v>PDAT</v>
      </c>
      <c r="C261" s="10" t="str">
        <f>VLOOKUP($A261,Questions!$A$3:$L$333,2,0)&amp;""</f>
        <v>Will you handle personal data in a manner compliant with all relevant laws, regulations, and applicable institution policies?</v>
      </c>
      <c r="D261" s="10" t="str">
        <f>VLOOKUP($A261,Questions!$A$3:$L$333,11,0)&amp;""</f>
        <v/>
      </c>
      <c r="E261" s="10" t="str">
        <f>VLOOKUP($A261,Questions!$A$3:$L$333,12,0)&amp;""</f>
        <v>Privacy</v>
      </c>
      <c r="F261" s="10" t="str">
        <f>VLOOKUP($A261,'Privacy Analyst Evaluation'!$A$46:$K$120,3,0)&amp;""</f>
        <v>yes</v>
      </c>
      <c r="G261" s="10" t="str">
        <f>VLOOKUP($A261,'Privacy Analyst Evaluation'!$A$46:$K$120,7,0)&amp;""</f>
        <v>Yes</v>
      </c>
      <c r="H261" s="10" t="str">
        <f>VLOOKUP($A261,'Privacy Analyst Evaluation'!$A$46:$K$120,8,0)&amp;""</f>
        <v/>
      </c>
      <c r="I261" s="10" t="str">
        <f>VLOOKUP($A261,'Privacy Analyst Evaluation'!$A$46:$K$120,9,0)&amp;""</f>
        <v>Minor Importance</v>
      </c>
      <c r="J261" s="10" t="str">
        <f>VLOOKUP($A261,'Privacy Analyst Evaluation'!$A$46:$K$120,10,0)&amp;""</f>
        <v/>
      </c>
      <c r="K261" s="10">
        <f t="shared" si="64"/>
        <v>5</v>
      </c>
      <c r="L261" s="114">
        <f>IF($E261="Not Scored", "N/A",IF(AND($D261='Auto Responses'!$J$27,$H261=""),"N/A",IF(AND($D261='Auto Responses'!$J$27,$H261='Auto Responses'!$J$7),1,IF(AND($D261='Auto Responses'!$J$27,$H261='Auto Responses'!$J$8),0,IF(OR($F261=$G261,$H261='Auto Responses'!$J$7),1,0)))))</f>
        <v>1</v>
      </c>
      <c r="M261" s="10" t="str">
        <f>VLOOKUP($A261,'Privacy Analyst Evaluation'!$A$46:$K$120,10,0)&amp;""</f>
        <v/>
      </c>
      <c r="N261" s="10">
        <f t="shared" si="65"/>
        <v>0</v>
      </c>
      <c r="O261" s="114">
        <f t="shared" si="58"/>
        <v>5</v>
      </c>
      <c r="P261" s="114">
        <f t="shared" si="66"/>
        <v>5</v>
      </c>
      <c r="Q261" s="114">
        <f t="shared" si="59"/>
        <v>0</v>
      </c>
      <c r="R261" s="114">
        <f t="shared" ref="R261:R324" si="67">R260+Q261</f>
        <v>0</v>
      </c>
      <c r="S261" s="114">
        <f t="shared" si="60"/>
        <v>0</v>
      </c>
      <c r="T261" s="114">
        <f t="shared" si="61"/>
        <v>0</v>
      </c>
      <c r="U261" s="114">
        <f t="shared" ref="U261:U324" si="68">U260+T261</f>
        <v>70</v>
      </c>
      <c r="V261" s="114">
        <f t="shared" si="62"/>
        <v>0</v>
      </c>
    </row>
    <row r="262" spans="1:22" ht="60">
      <c r="A262" s="10" t="str">
        <f>Questions!$A262</f>
        <v>PRPO-01</v>
      </c>
      <c r="B262" s="10" t="str">
        <f t="shared" si="63"/>
        <v>PRPO</v>
      </c>
      <c r="C262" s="10" t="str">
        <f>VLOOKUP($A262,Questions!$A$3:$L$333,2,0)&amp;""</f>
        <v>Do you have a documented privacy management process?</v>
      </c>
      <c r="D262" s="10" t="str">
        <f>VLOOKUP($A262,Questions!$A$3:$L$333,11,0)&amp;""</f>
        <v/>
      </c>
      <c r="E262" s="10" t="str">
        <f>VLOOKUP($A262,Questions!$A$3:$L$333,12,0)&amp;""</f>
        <v>Privacy</v>
      </c>
      <c r="F262" s="10" t="str">
        <f>VLOOKUP($A262,'Privacy Analyst Evaluation'!$A$46:$K$120,3,0)&amp;""</f>
        <v>yes</v>
      </c>
      <c r="G262" s="10" t="str">
        <f>VLOOKUP($A262,'Privacy Analyst Evaluation'!$A$46:$K$120,7,0)&amp;""</f>
        <v>Yes</v>
      </c>
      <c r="H262" s="10" t="str">
        <f>VLOOKUP($A262,'Privacy Analyst Evaluation'!$A$46:$K$120,8,0)&amp;""</f>
        <v/>
      </c>
      <c r="I262" s="10" t="str">
        <f>VLOOKUP($A262,'Privacy Analyst Evaluation'!$A$46:$K$120,9,0)&amp;""</f>
        <v>Minor Importance</v>
      </c>
      <c r="J262" s="10" t="str">
        <f>VLOOKUP($A262,'Privacy Analyst Evaluation'!$A$46:$K$120,10,0)&amp;""</f>
        <v/>
      </c>
      <c r="K262" s="10">
        <f t="shared" si="64"/>
        <v>5</v>
      </c>
      <c r="L262" s="114">
        <f>IF($E262="Not Scored", "N/A",IF(AND($D262='Auto Responses'!$J$27,$H262=""),"N/A",IF(AND($D262='Auto Responses'!$J$27,$H262='Auto Responses'!$J$7),1,IF(AND($D262='Auto Responses'!$J$27,$H262='Auto Responses'!$J$8),0,IF(OR($F262=$G262,$H262='Auto Responses'!$J$7),1,0)))))</f>
        <v>1</v>
      </c>
      <c r="M262" s="10" t="str">
        <f>VLOOKUP($A262,'Privacy Analyst Evaluation'!$A$46:$K$120,10,0)&amp;""</f>
        <v/>
      </c>
      <c r="N262" s="10">
        <f t="shared" si="65"/>
        <v>0</v>
      </c>
      <c r="O262" s="114">
        <f t="shared" si="58"/>
        <v>5</v>
      </c>
      <c r="P262" s="114">
        <f t="shared" si="66"/>
        <v>5</v>
      </c>
      <c r="Q262" s="114">
        <f t="shared" si="59"/>
        <v>0</v>
      </c>
      <c r="R262" s="114">
        <f t="shared" si="67"/>
        <v>0</v>
      </c>
      <c r="S262" s="114">
        <f t="shared" si="60"/>
        <v>0</v>
      </c>
      <c r="T262" s="114">
        <f t="shared" si="61"/>
        <v>0</v>
      </c>
      <c r="U262" s="114">
        <f t="shared" si="68"/>
        <v>70</v>
      </c>
      <c r="V262" s="114">
        <f t="shared" si="62"/>
        <v>0</v>
      </c>
    </row>
    <row r="263" spans="1:22" ht="60">
      <c r="A263" s="10" t="str">
        <f>Questions!$A263</f>
        <v>PRPO-02</v>
      </c>
      <c r="B263" s="10" t="str">
        <f t="shared" si="63"/>
        <v>PRPO</v>
      </c>
      <c r="C263" s="10" t="str">
        <f>VLOOKUP($A263,Questions!$A$3:$L$333,2,0)&amp;""</f>
        <v>Are privacy principles designed into the product lifecycle (i.e., privacy-by-design)?</v>
      </c>
      <c r="D263" s="10" t="str">
        <f>VLOOKUP($A263,Questions!$A$3:$L$333,11,0)&amp;""</f>
        <v/>
      </c>
      <c r="E263" s="10" t="str">
        <f>VLOOKUP($A263,Questions!$A$3:$L$333,12,0)&amp;""</f>
        <v>Privacy</v>
      </c>
      <c r="F263" s="10" t="str">
        <f>VLOOKUP($A263,'Privacy Analyst Evaluation'!$A$46:$K$120,3,0)&amp;""</f>
        <v>yes</v>
      </c>
      <c r="G263" s="10" t="str">
        <f>VLOOKUP($A263,'Privacy Analyst Evaluation'!$A$46:$K$120,7,0)&amp;""</f>
        <v>Yes</v>
      </c>
      <c r="H263" s="10" t="str">
        <f>VLOOKUP($A263,'Privacy Analyst Evaluation'!$A$46:$K$120,8,0)&amp;""</f>
        <v/>
      </c>
      <c r="I263" s="10" t="str">
        <f>VLOOKUP($A263,'Privacy Analyst Evaluation'!$A$46:$K$120,9,0)&amp;""</f>
        <v>Minor Importance</v>
      </c>
      <c r="J263" s="10" t="str">
        <f>VLOOKUP($A263,'Privacy Analyst Evaluation'!$A$46:$K$120,10,0)&amp;""</f>
        <v/>
      </c>
      <c r="K263" s="10">
        <f t="shared" si="64"/>
        <v>5</v>
      </c>
      <c r="L263" s="114">
        <f>IF($E263="Not Scored", "N/A",IF(AND($D263='Auto Responses'!$J$27,$H263=""),"N/A",IF(AND($D263='Auto Responses'!$J$27,$H263='Auto Responses'!$J$7),1,IF(AND($D263='Auto Responses'!$J$27,$H263='Auto Responses'!$J$8),0,IF(OR($F263=$G263,$H263='Auto Responses'!$J$7),1,0)))))</f>
        <v>1</v>
      </c>
      <c r="M263" s="10" t="str">
        <f>VLOOKUP($A263,'Privacy Analyst Evaluation'!$A$46:$K$120,10,0)&amp;""</f>
        <v/>
      </c>
      <c r="N263" s="10">
        <f t="shared" si="65"/>
        <v>0</v>
      </c>
      <c r="O263" s="114">
        <f t="shared" si="58"/>
        <v>5</v>
      </c>
      <c r="P263" s="114">
        <f t="shared" si="66"/>
        <v>5</v>
      </c>
      <c r="Q263" s="114">
        <f t="shared" si="59"/>
        <v>0</v>
      </c>
      <c r="R263" s="114">
        <f t="shared" si="67"/>
        <v>0</v>
      </c>
      <c r="S263" s="114">
        <f t="shared" si="60"/>
        <v>0</v>
      </c>
      <c r="T263" s="114">
        <f t="shared" si="61"/>
        <v>0</v>
      </c>
      <c r="U263" s="114">
        <f t="shared" si="68"/>
        <v>70</v>
      </c>
      <c r="V263" s="114">
        <f t="shared" si="62"/>
        <v>0</v>
      </c>
    </row>
    <row r="264" spans="1:22" ht="60">
      <c r="A264" s="10" t="str">
        <f>Questions!$A264</f>
        <v>PRPO-03</v>
      </c>
      <c r="B264" s="10" t="str">
        <f t="shared" si="63"/>
        <v>PRPO</v>
      </c>
      <c r="C264" s="10" t="str">
        <f>VLOOKUP($A264,Questions!$A$3:$L$333,2,0)&amp;""</f>
        <v>Will you comply with applicable breach notification laws?</v>
      </c>
      <c r="D264" s="10" t="str">
        <f>VLOOKUP($A264,Questions!$A$3:$L$333,11,0)&amp;""</f>
        <v/>
      </c>
      <c r="E264" s="10" t="str">
        <f>VLOOKUP($A264,Questions!$A$3:$L$333,12,0)&amp;""</f>
        <v>Privacy</v>
      </c>
      <c r="F264" s="10" t="str">
        <f>VLOOKUP($A264,'Privacy Analyst Evaluation'!$A$46:$K$120,3,0)&amp;""</f>
        <v>yes</v>
      </c>
      <c r="G264" s="10" t="str">
        <f>VLOOKUP($A264,'Privacy Analyst Evaluation'!$A$46:$K$120,7,0)&amp;""</f>
        <v>Yes</v>
      </c>
      <c r="H264" s="10" t="str">
        <f>VLOOKUP($A264,'Privacy Analyst Evaluation'!$A$46:$K$120,8,0)&amp;""</f>
        <v/>
      </c>
      <c r="I264" s="10" t="str">
        <f>VLOOKUP($A264,'Privacy Analyst Evaluation'!$A$46:$K$120,9,0)&amp;""</f>
        <v>Standard Importance</v>
      </c>
      <c r="J264" s="10" t="str">
        <f>VLOOKUP($A264,'Privacy Analyst Evaluation'!$A$46:$K$120,10,0)&amp;""</f>
        <v/>
      </c>
      <c r="K264" s="10">
        <f t="shared" si="64"/>
        <v>10</v>
      </c>
      <c r="L264" s="114">
        <f>IF($E264="Not Scored", "N/A",IF(AND($D264='Auto Responses'!$J$27,$H264=""),"N/A",IF(AND($D264='Auto Responses'!$J$27,$H264='Auto Responses'!$J$7),1,IF(AND($D264='Auto Responses'!$J$27,$H264='Auto Responses'!$J$8),0,IF(OR($F264=$G264,$H264='Auto Responses'!$J$7),1,0)))))</f>
        <v>1</v>
      </c>
      <c r="M264" s="10" t="str">
        <f>VLOOKUP($A264,'Privacy Analyst Evaluation'!$A$46:$K$120,10,0)&amp;""</f>
        <v/>
      </c>
      <c r="N264" s="10">
        <f t="shared" si="65"/>
        <v>0</v>
      </c>
      <c r="O264" s="114">
        <f t="shared" si="58"/>
        <v>10</v>
      </c>
      <c r="P264" s="114">
        <f t="shared" si="66"/>
        <v>10</v>
      </c>
      <c r="Q264" s="114">
        <f t="shared" si="59"/>
        <v>0</v>
      </c>
      <c r="R264" s="114">
        <f t="shared" si="67"/>
        <v>0</v>
      </c>
      <c r="S264" s="114">
        <f t="shared" si="60"/>
        <v>0</v>
      </c>
      <c r="T264" s="114">
        <f t="shared" si="61"/>
        <v>0</v>
      </c>
      <c r="U264" s="114">
        <f t="shared" si="68"/>
        <v>70</v>
      </c>
      <c r="V264" s="114">
        <f t="shared" si="62"/>
        <v>0</v>
      </c>
    </row>
    <row r="265" spans="1:22" ht="60">
      <c r="A265" s="10" t="str">
        <f>Questions!$A265</f>
        <v>PRPO-04</v>
      </c>
      <c r="B265" s="10" t="str">
        <f t="shared" si="63"/>
        <v>PRPO</v>
      </c>
      <c r="C265" s="10" t="str">
        <f>VLOOKUP($A265,Questions!$A$3:$L$333,2,0)&amp;""</f>
        <v>Will you comply with the institution's policies regarding user privacy and data protection?</v>
      </c>
      <c r="D265" s="10" t="str">
        <f>VLOOKUP($A265,Questions!$A$3:$L$333,11,0)&amp;""</f>
        <v/>
      </c>
      <c r="E265" s="10" t="str">
        <f>VLOOKUP($A265,Questions!$A$3:$L$333,12,0)&amp;""</f>
        <v>Privacy</v>
      </c>
      <c r="F265" s="10" t="str">
        <f>VLOOKUP($A265,'Privacy Analyst Evaluation'!$A$46:$K$120,3,0)&amp;""</f>
        <v>yes</v>
      </c>
      <c r="G265" s="10" t="str">
        <f>VLOOKUP($A265,'Privacy Analyst Evaluation'!$A$46:$K$120,7,0)&amp;""</f>
        <v>Yes</v>
      </c>
      <c r="H265" s="10" t="str">
        <f>VLOOKUP($A265,'Privacy Analyst Evaluation'!$A$46:$K$120,8,0)&amp;""</f>
        <v/>
      </c>
      <c r="I265" s="10" t="str">
        <f>VLOOKUP($A265,'Privacy Analyst Evaluation'!$A$46:$K$120,9,0)&amp;""</f>
        <v>Minor Importance</v>
      </c>
      <c r="J265" s="10" t="str">
        <f>VLOOKUP($A265,'Privacy Analyst Evaluation'!$A$46:$K$120,10,0)&amp;""</f>
        <v/>
      </c>
      <c r="K265" s="10">
        <f t="shared" si="64"/>
        <v>5</v>
      </c>
      <c r="L265" s="114">
        <f>IF($E265="Not Scored", "N/A",IF(AND($D265='Auto Responses'!$J$27,$H265=""),"N/A",IF(AND($D265='Auto Responses'!$J$27,$H265='Auto Responses'!$J$7),1,IF(AND($D265='Auto Responses'!$J$27,$H265='Auto Responses'!$J$8),0,IF(OR($F265=$G265,$H265='Auto Responses'!$J$7),1,0)))))</f>
        <v>1</v>
      </c>
      <c r="M265" s="10" t="str">
        <f>VLOOKUP($A265,'Privacy Analyst Evaluation'!$A$46:$K$120,10,0)&amp;""</f>
        <v/>
      </c>
      <c r="N265" s="10">
        <f t="shared" si="65"/>
        <v>0</v>
      </c>
      <c r="O265" s="114">
        <f t="shared" si="58"/>
        <v>5</v>
      </c>
      <c r="P265" s="114">
        <f t="shared" si="66"/>
        <v>5</v>
      </c>
      <c r="Q265" s="114">
        <f t="shared" si="59"/>
        <v>0</v>
      </c>
      <c r="R265" s="114">
        <f t="shared" si="67"/>
        <v>0</v>
      </c>
      <c r="S265" s="114">
        <f t="shared" si="60"/>
        <v>0</v>
      </c>
      <c r="T265" s="114">
        <f t="shared" si="61"/>
        <v>0</v>
      </c>
      <c r="U265" s="114">
        <f t="shared" si="68"/>
        <v>70</v>
      </c>
      <c r="V265" s="114">
        <f t="shared" si="62"/>
        <v>0</v>
      </c>
    </row>
    <row r="266" spans="1:22" ht="60">
      <c r="A266" s="10" t="str">
        <f>Questions!$A266</f>
        <v>PRPO-05</v>
      </c>
      <c r="B266" s="10" t="str">
        <f t="shared" si="63"/>
        <v>PRPO</v>
      </c>
      <c r="C266" s="10" t="str">
        <f>VLOOKUP($A266,Questions!$A$3:$L$333,2,0)&amp;""</f>
        <v>Is your company subject to the laws and regulations of the institution's geographic region?</v>
      </c>
      <c r="D266" s="10" t="str">
        <f>VLOOKUP($A266,Questions!$A$3:$L$333,11,0)&amp;""</f>
        <v/>
      </c>
      <c r="E266" s="10" t="str">
        <f>VLOOKUP($A266,Questions!$A$3:$L$333,12,0)&amp;""</f>
        <v>Privacy</v>
      </c>
      <c r="F266" s="10" t="str">
        <f>VLOOKUP($A266,'Privacy Analyst Evaluation'!$A$46:$K$120,3,0)&amp;""</f>
        <v>yes</v>
      </c>
      <c r="G266" s="10" t="str">
        <f>VLOOKUP($A266,'Privacy Analyst Evaluation'!$A$46:$K$120,7,0)&amp;""</f>
        <v>Yes</v>
      </c>
      <c r="H266" s="10" t="str">
        <f>VLOOKUP($A266,'Privacy Analyst Evaluation'!$A$46:$K$120,8,0)&amp;""</f>
        <v/>
      </c>
      <c r="I266" s="10" t="str">
        <f>VLOOKUP($A266,'Privacy Analyst Evaluation'!$A$46:$K$120,9,0)&amp;""</f>
        <v>Minor Importance</v>
      </c>
      <c r="J266" s="10" t="str">
        <f>VLOOKUP($A266,'Privacy Analyst Evaluation'!$A$46:$K$120,10,0)&amp;""</f>
        <v/>
      </c>
      <c r="K266" s="10">
        <f t="shared" si="64"/>
        <v>5</v>
      </c>
      <c r="L266" s="114">
        <f>IF($E266="Not Scored", "N/A",IF(AND($D266='Auto Responses'!$J$27,$H266=""),"N/A",IF(AND($D266='Auto Responses'!$J$27,$H266='Auto Responses'!$J$7),1,IF(AND($D266='Auto Responses'!$J$27,$H266='Auto Responses'!$J$8),0,IF(OR($F266=$G266,$H266='Auto Responses'!$J$7),1,0)))))</f>
        <v>1</v>
      </c>
      <c r="M266" s="10" t="str">
        <f>VLOOKUP($A266,'Privacy Analyst Evaluation'!$A$46:$K$120,10,0)&amp;""</f>
        <v/>
      </c>
      <c r="N266" s="10">
        <f t="shared" si="65"/>
        <v>0</v>
      </c>
      <c r="O266" s="114">
        <f t="shared" si="58"/>
        <v>5</v>
      </c>
      <c r="P266" s="114">
        <f t="shared" si="66"/>
        <v>5</v>
      </c>
      <c r="Q266" s="114">
        <f t="shared" si="59"/>
        <v>0</v>
      </c>
      <c r="R266" s="114">
        <f t="shared" si="67"/>
        <v>0</v>
      </c>
      <c r="S266" s="114">
        <f t="shared" si="60"/>
        <v>0</v>
      </c>
      <c r="T266" s="114">
        <f t="shared" si="61"/>
        <v>0</v>
      </c>
      <c r="U266" s="114">
        <f t="shared" si="68"/>
        <v>70</v>
      </c>
      <c r="V266" s="114">
        <f t="shared" si="62"/>
        <v>0</v>
      </c>
    </row>
    <row r="267" spans="1:22" ht="60">
      <c r="A267" s="10" t="str">
        <f>Questions!$A267</f>
        <v>PRPO-06</v>
      </c>
      <c r="B267" s="10" t="str">
        <f t="shared" si="63"/>
        <v>PRPO</v>
      </c>
      <c r="C267" s="10" t="str">
        <f>VLOOKUP($A267,Questions!$A$3:$L$333,2,0)&amp;""</f>
        <v>Do you have a privacy awareness/training program?*</v>
      </c>
      <c r="D267" s="10" t="str">
        <f>VLOOKUP($A267,Questions!$A$3:$L$333,11,0)&amp;""</f>
        <v/>
      </c>
      <c r="E267" s="10" t="str">
        <f>VLOOKUP($A267,Questions!$A$3:$L$333,12,0)&amp;""</f>
        <v>Privacy</v>
      </c>
      <c r="F267" s="10" t="str">
        <f>VLOOKUP($A267,'Privacy Analyst Evaluation'!$A$46:$K$120,3,0)&amp;""</f>
        <v>NO</v>
      </c>
      <c r="G267" s="10" t="str">
        <f>VLOOKUP($A267,'Privacy Analyst Evaluation'!$A$46:$K$120,7,0)&amp;""</f>
        <v>Yes</v>
      </c>
      <c r="H267" s="10" t="str">
        <f>VLOOKUP($A267,'Privacy Analyst Evaluation'!$A$46:$K$120,8,0)&amp;""</f>
        <v/>
      </c>
      <c r="I267" s="10" t="str">
        <f>VLOOKUP($A267,'Privacy Analyst Evaluation'!$A$46:$K$120,9,0)&amp;""</f>
        <v>Critical Importance</v>
      </c>
      <c r="J267" s="10" t="str">
        <f>VLOOKUP($A267,'Privacy Analyst Evaluation'!$A$46:$K$120,10,0)&amp;""</f>
        <v/>
      </c>
      <c r="K267" s="10">
        <f t="shared" si="64"/>
        <v>20</v>
      </c>
      <c r="L267" s="114">
        <f>IF($E267="Not Scored", "N/A",IF(AND($D267='Auto Responses'!$J$27,$H267=""),"N/A",IF(AND($D267='Auto Responses'!$J$27,$H267='Auto Responses'!$J$7),1,IF(AND($D267='Auto Responses'!$J$27,$H267='Auto Responses'!$J$8),0,IF(OR($F267=$G267,$H267='Auto Responses'!$J$7),1,0)))))</f>
        <v>0</v>
      </c>
      <c r="M267" s="10" t="str">
        <f>VLOOKUP($A267,'Privacy Analyst Evaluation'!$A$46:$K$120,10,0)&amp;""</f>
        <v/>
      </c>
      <c r="N267" s="10">
        <f t="shared" si="65"/>
        <v>1</v>
      </c>
      <c r="O267" s="114">
        <f t="shared" si="58"/>
        <v>20</v>
      </c>
      <c r="P267" s="114">
        <f t="shared" si="66"/>
        <v>0</v>
      </c>
      <c r="Q267" s="114">
        <f t="shared" si="59"/>
        <v>0</v>
      </c>
      <c r="R267" s="114">
        <f t="shared" si="67"/>
        <v>0</v>
      </c>
      <c r="S267" s="114">
        <f t="shared" si="60"/>
        <v>0</v>
      </c>
      <c r="T267" s="114">
        <f t="shared" si="61"/>
        <v>1</v>
      </c>
      <c r="U267" s="114">
        <f t="shared" si="68"/>
        <v>71</v>
      </c>
      <c r="V267" s="114">
        <f t="shared" si="62"/>
        <v>71</v>
      </c>
    </row>
    <row r="268" spans="1:22" ht="60">
      <c r="A268" s="10" t="str">
        <f>Questions!$A268</f>
        <v>PRPO-07</v>
      </c>
      <c r="B268" s="10" t="str">
        <f t="shared" si="63"/>
        <v>PRPO</v>
      </c>
      <c r="C268" s="10" t="str">
        <f>VLOOKUP($A268,Questions!$A$3:$L$333,2,0)&amp;""</f>
        <v>Is privacy awareness training mandatory for all employees?</v>
      </c>
      <c r="D268" s="10" t="str">
        <f>VLOOKUP($A268,Questions!$A$3:$L$333,11,0)&amp;""</f>
        <v/>
      </c>
      <c r="E268" s="10" t="str">
        <f>VLOOKUP($A268,Questions!$A$3:$L$333,12,0)&amp;""</f>
        <v>Privacy</v>
      </c>
      <c r="F268" s="10" t="str">
        <f>VLOOKUP($A268,'Privacy Analyst Evaluation'!$A$46:$K$120,3,0)&amp;""</f>
        <v>YES</v>
      </c>
      <c r="G268" s="10" t="str">
        <f>VLOOKUP($A268,'Privacy Analyst Evaluation'!$A$46:$K$120,7,0)&amp;""</f>
        <v>Yes</v>
      </c>
      <c r="H268" s="10" t="str">
        <f>VLOOKUP($A268,'Privacy Analyst Evaluation'!$A$46:$K$120,8,0)&amp;""</f>
        <v/>
      </c>
      <c r="I268" s="10" t="str">
        <f>VLOOKUP($A268,'Privacy Analyst Evaluation'!$A$46:$K$120,9,0)&amp;""</f>
        <v>Minor Importance</v>
      </c>
      <c r="J268" s="10" t="str">
        <f>VLOOKUP($A268,'Privacy Analyst Evaluation'!$A$46:$K$120,10,0)&amp;""</f>
        <v/>
      </c>
      <c r="K268" s="10">
        <f t="shared" si="64"/>
        <v>5</v>
      </c>
      <c r="L268" s="114">
        <f>IF($E268="Not Scored", "N/A",IF(AND($D268='Auto Responses'!$J$27,$H268=""),"N/A",IF(AND($D268='Auto Responses'!$J$27,$H268='Auto Responses'!$J$7),1,IF(AND($D268='Auto Responses'!$J$27,$H268='Auto Responses'!$J$8),0,IF(OR($F268=$G268,$H268='Auto Responses'!$J$7),1,0)))))</f>
        <v>1</v>
      </c>
      <c r="M268" s="10" t="str">
        <f>VLOOKUP($A268,'Privacy Analyst Evaluation'!$A$46:$K$120,10,0)&amp;""</f>
        <v/>
      </c>
      <c r="N268" s="10">
        <f t="shared" si="65"/>
        <v>0</v>
      </c>
      <c r="O268" s="114">
        <f t="shared" si="58"/>
        <v>5</v>
      </c>
      <c r="P268" s="114">
        <f t="shared" si="66"/>
        <v>5</v>
      </c>
      <c r="Q268" s="114">
        <f t="shared" si="59"/>
        <v>0</v>
      </c>
      <c r="R268" s="114">
        <f t="shared" si="67"/>
        <v>0</v>
      </c>
      <c r="S268" s="114">
        <f t="shared" si="60"/>
        <v>0</v>
      </c>
      <c r="T268" s="114">
        <f t="shared" si="61"/>
        <v>0</v>
      </c>
      <c r="U268" s="114">
        <f t="shared" si="68"/>
        <v>71</v>
      </c>
      <c r="V268" s="114">
        <f t="shared" si="62"/>
        <v>0</v>
      </c>
    </row>
    <row r="269" spans="1:22" ht="60">
      <c r="A269" s="10" t="str">
        <f>Questions!$A269</f>
        <v>PRPO-08</v>
      </c>
      <c r="B269" s="10" t="str">
        <f t="shared" si="63"/>
        <v>PRPO</v>
      </c>
      <c r="C269" s="10" t="str">
        <f>VLOOKUP($A269,Questions!$A$3:$L$333,2,0)&amp;""</f>
        <v>Is AI privacy and ethics awareness/training required for all employees who work with AI?</v>
      </c>
      <c r="D269" s="10" t="str">
        <f>VLOOKUP($A269,Questions!$A$3:$L$333,11,0)&amp;""</f>
        <v/>
      </c>
      <c r="E269" s="10" t="str">
        <f>VLOOKUP($A269,Questions!$A$3:$L$333,12,0)&amp;""</f>
        <v>Privacy</v>
      </c>
      <c r="F269" s="10" t="str">
        <f>VLOOKUP($A269,'Privacy Analyst Evaluation'!$A$46:$K$120,3,0)&amp;""</f>
        <v>Yes</v>
      </c>
      <c r="G269" s="10" t="str">
        <f>VLOOKUP($A269,'Privacy Analyst Evaluation'!$A$46:$K$120,7,0)&amp;""</f>
        <v>Yes</v>
      </c>
      <c r="H269" s="10" t="str">
        <f>VLOOKUP($A269,'Privacy Analyst Evaluation'!$A$46:$K$120,8,0)&amp;""</f>
        <v/>
      </c>
      <c r="I269" s="10" t="str">
        <f>VLOOKUP($A269,'Privacy Analyst Evaluation'!$A$46:$K$120,9,0)&amp;""</f>
        <v>Minor Importance</v>
      </c>
      <c r="J269" s="10" t="str">
        <f>VLOOKUP($A269,'Privacy Analyst Evaluation'!$A$46:$K$120,10,0)&amp;""</f>
        <v/>
      </c>
      <c r="K269" s="10">
        <f t="shared" si="64"/>
        <v>5</v>
      </c>
      <c r="L269" s="114">
        <f>IF($E269="Not Scored", "N/A",IF(AND($D269='Auto Responses'!$J$27,$H269=""),"N/A",IF(AND($D269='Auto Responses'!$J$27,$H269='Auto Responses'!$J$7),1,IF(AND($D269='Auto Responses'!$J$27,$H269='Auto Responses'!$J$8),0,IF(OR($F269=$G269,$H269='Auto Responses'!$J$7),1,0)))))</f>
        <v>1</v>
      </c>
      <c r="M269" s="10" t="str">
        <f>VLOOKUP($A269,'Privacy Analyst Evaluation'!$A$46:$K$120,10,0)&amp;""</f>
        <v/>
      </c>
      <c r="N269" s="10">
        <f t="shared" si="65"/>
        <v>0</v>
      </c>
      <c r="O269" s="114">
        <f>IF(OR($E269="Not Scored",$F269="N/A",$F$24="No"),"N/A",IF($J269="",$K269,IF($J269="Minor Importance",5,IF($J269="Standard Importance",10,IF($J269="Critical Importance",20,0)))))</f>
        <v>5</v>
      </c>
      <c r="P269" s="114">
        <f t="shared" si="66"/>
        <v>5</v>
      </c>
      <c r="Q269" s="114">
        <f t="shared" si="59"/>
        <v>0</v>
      </c>
      <c r="R269" s="114">
        <f t="shared" si="67"/>
        <v>0</v>
      </c>
      <c r="S269" s="114">
        <f t="shared" si="60"/>
        <v>0</v>
      </c>
      <c r="T269" s="114">
        <f t="shared" si="61"/>
        <v>0</v>
      </c>
      <c r="U269" s="114">
        <f t="shared" si="68"/>
        <v>71</v>
      </c>
      <c r="V269" s="114">
        <f t="shared" si="62"/>
        <v>0</v>
      </c>
    </row>
    <row r="270" spans="1:22" ht="60">
      <c r="A270" s="10" t="str">
        <f>Questions!$A270</f>
        <v>PRPO-09</v>
      </c>
      <c r="B270" s="10" t="str">
        <f t="shared" si="63"/>
        <v>PRPO</v>
      </c>
      <c r="C270" s="10" t="str">
        <f>VLOOKUP($A270,Questions!$A$3:$L$333,2,0)&amp;""</f>
        <v>Do you have any decision-making processes that are completely automated (i.e., there is no human involvement)?</v>
      </c>
      <c r="D270" s="10" t="str">
        <f>VLOOKUP($A270,Questions!$A$3:$L$333,11,0)&amp;""</f>
        <v/>
      </c>
      <c r="E270" s="10" t="str">
        <f>VLOOKUP($A270,Questions!$A$3:$L$333,12,0)&amp;""</f>
        <v>Privacy</v>
      </c>
      <c r="F270" s="10" t="str">
        <f>VLOOKUP($A270,'Privacy Analyst Evaluation'!$A$46:$K$120,3,0)&amp;""</f>
        <v>no</v>
      </c>
      <c r="G270" s="10" t="str">
        <f>VLOOKUP($A270,'Privacy Analyst Evaluation'!$A$46:$K$120,7,0)&amp;""</f>
        <v>No</v>
      </c>
      <c r="H270" s="10" t="str">
        <f>VLOOKUP($A270,'Privacy Analyst Evaluation'!$A$46:$K$120,8,0)&amp;""</f>
        <v/>
      </c>
      <c r="I270" s="10" t="str">
        <f>VLOOKUP($A270,'Privacy Analyst Evaluation'!$A$46:$K$120,9,0)&amp;""</f>
        <v>Minor Importance</v>
      </c>
      <c r="J270" s="10" t="str">
        <f>VLOOKUP($A270,'Privacy Analyst Evaluation'!$A$46:$K$120,10,0)&amp;""</f>
        <v/>
      </c>
      <c r="K270" s="10">
        <f t="shared" si="64"/>
        <v>5</v>
      </c>
      <c r="L270" s="114">
        <f>IF($E270="Not Scored", "N/A",IF(AND($D270='Auto Responses'!$J$27,$H270=""),"N/A",IF(AND($D270='Auto Responses'!$J$27,$H270='Auto Responses'!$J$7),1,IF(AND($D270='Auto Responses'!$J$27,$H270='Auto Responses'!$J$8),0,IF(OR($F270=$G270,$H270='Auto Responses'!$J$7),1,0)))))</f>
        <v>1</v>
      </c>
      <c r="M270" s="10" t="str">
        <f>VLOOKUP($A270,'Privacy Analyst Evaluation'!$A$46:$K$120,10,0)&amp;""</f>
        <v/>
      </c>
      <c r="N270" s="10">
        <f t="shared" si="65"/>
        <v>0</v>
      </c>
      <c r="O270" s="114">
        <f t="shared" si="58"/>
        <v>5</v>
      </c>
      <c r="P270" s="114">
        <f t="shared" si="66"/>
        <v>5</v>
      </c>
      <c r="Q270" s="114">
        <f t="shared" si="59"/>
        <v>0</v>
      </c>
      <c r="R270" s="114">
        <f t="shared" si="67"/>
        <v>0</v>
      </c>
      <c r="S270" s="114">
        <f t="shared" si="60"/>
        <v>0</v>
      </c>
      <c r="T270" s="114">
        <f t="shared" si="61"/>
        <v>0</v>
      </c>
      <c r="U270" s="114">
        <f t="shared" si="68"/>
        <v>71</v>
      </c>
      <c r="V270" s="114">
        <f t="shared" si="62"/>
        <v>0</v>
      </c>
    </row>
    <row r="271" spans="1:22" ht="60">
      <c r="A271" s="10" t="str">
        <f>Questions!$A271</f>
        <v>PRPO-10</v>
      </c>
      <c r="B271" s="10" t="str">
        <f t="shared" si="63"/>
        <v>PRPO</v>
      </c>
      <c r="C271" s="10" t="str">
        <f>VLOOKUP($A271,Questions!$A$3:$L$333,2,0)&amp;""</f>
        <v>Do you have a documented process for managing automated processing, including validations, monitoring, and data subject requests?</v>
      </c>
      <c r="D271" s="10" t="str">
        <f>VLOOKUP($A271,Questions!$A$3:$L$333,11,0)&amp;""</f>
        <v/>
      </c>
      <c r="E271" s="10" t="str">
        <f>VLOOKUP($A271,Questions!$A$3:$L$333,12,0)&amp;""</f>
        <v>Privacy</v>
      </c>
      <c r="F271" s="10" t="str">
        <f>VLOOKUP($A271,'Privacy Analyst Evaluation'!$A$46:$K$120,3,0)&amp;""</f>
        <v>No</v>
      </c>
      <c r="G271" s="10" t="str">
        <f>VLOOKUP($A271,'Privacy Analyst Evaluation'!$A$46:$K$120,7,0)&amp;""</f>
        <v>Yes</v>
      </c>
      <c r="H271" s="10" t="str">
        <f>VLOOKUP($A271,'Privacy Analyst Evaluation'!$A$46:$K$120,8,0)&amp;""</f>
        <v/>
      </c>
      <c r="I271" s="10" t="str">
        <f>VLOOKUP($A271,'Privacy Analyst Evaluation'!$A$46:$K$120,9,0)&amp;""</f>
        <v>Minor Importance</v>
      </c>
      <c r="J271" s="10" t="str">
        <f>VLOOKUP($A271,'Privacy Analyst Evaluation'!$A$46:$K$120,10,0)&amp;""</f>
        <v/>
      </c>
      <c r="K271" s="10">
        <f t="shared" si="64"/>
        <v>5</v>
      </c>
      <c r="L271" s="114">
        <f>IF($E271="Not Scored", "N/A",IF(AND($D271='Auto Responses'!$J$27,$H271=""),"N/A",IF(AND($D271='Auto Responses'!$J$27,$H271='Auto Responses'!$J$7),1,IF(AND($D271='Auto Responses'!$J$27,$H271='Auto Responses'!$J$8),0,IF(OR($F271=$G271,$H271='Auto Responses'!$J$7),1,0)))))</f>
        <v>0</v>
      </c>
      <c r="M271" s="10" t="str">
        <f>VLOOKUP($A271,'Privacy Analyst Evaluation'!$A$46:$K$120,10,0)&amp;""</f>
        <v/>
      </c>
      <c r="N271" s="10">
        <f t="shared" si="65"/>
        <v>0</v>
      </c>
      <c r="O271" s="114">
        <f t="shared" si="58"/>
        <v>5</v>
      </c>
      <c r="P271" s="114">
        <f t="shared" si="66"/>
        <v>0</v>
      </c>
      <c r="Q271" s="114">
        <f t="shared" si="59"/>
        <v>0</v>
      </c>
      <c r="R271" s="114">
        <f t="shared" si="67"/>
        <v>0</v>
      </c>
      <c r="S271" s="114">
        <f t="shared" si="60"/>
        <v>0</v>
      </c>
      <c r="T271" s="114">
        <f t="shared" si="61"/>
        <v>0</v>
      </c>
      <c r="U271" s="114">
        <f t="shared" si="68"/>
        <v>71</v>
      </c>
      <c r="V271" s="114">
        <f t="shared" si="62"/>
        <v>0</v>
      </c>
    </row>
    <row r="272" spans="1:22" ht="60">
      <c r="A272" s="10" t="str">
        <f>Questions!$A272</f>
        <v>PRPO-11</v>
      </c>
      <c r="B272" s="10" t="str">
        <f t="shared" si="63"/>
        <v>PRPO</v>
      </c>
      <c r="C272" s="10" t="str">
        <f>VLOOKUP($A272,Questions!$A$3:$L$333,2,0)&amp;""</f>
        <v>Do you have a documented policy for sharing information with law enforcement?</v>
      </c>
      <c r="D272" s="10" t="str">
        <f>VLOOKUP($A272,Questions!$A$3:$L$333,11,0)&amp;""</f>
        <v/>
      </c>
      <c r="E272" s="10" t="str">
        <f>VLOOKUP($A272,Questions!$A$3:$L$333,12,0)&amp;""</f>
        <v>Privacy</v>
      </c>
      <c r="F272" s="10" t="str">
        <f>VLOOKUP($A272,'Privacy Analyst Evaluation'!$A$46:$K$120,3,0)&amp;""</f>
        <v>yes</v>
      </c>
      <c r="G272" s="10" t="str">
        <f>VLOOKUP($A272,'Privacy Analyst Evaluation'!$A$46:$K$120,7,0)&amp;""</f>
        <v>Yes</v>
      </c>
      <c r="H272" s="10" t="str">
        <f>VLOOKUP($A272,'Privacy Analyst Evaluation'!$A$46:$K$120,8,0)&amp;""</f>
        <v/>
      </c>
      <c r="I272" s="10" t="str">
        <f>VLOOKUP($A272,'Privacy Analyst Evaluation'!$A$46:$K$120,9,0)&amp;""</f>
        <v>Minor Importance</v>
      </c>
      <c r="J272" s="10" t="str">
        <f>VLOOKUP($A272,'Privacy Analyst Evaluation'!$A$46:$K$120,10,0)&amp;""</f>
        <v/>
      </c>
      <c r="K272" s="10">
        <f t="shared" si="64"/>
        <v>5</v>
      </c>
      <c r="L272" s="114">
        <f>IF($E272="Not Scored", "N/A",IF(AND($D272='Auto Responses'!$J$27,$H272=""),"N/A",IF(AND($D272='Auto Responses'!$J$27,$H272='Auto Responses'!$J$7),1,IF(AND($D272='Auto Responses'!$J$27,$H272='Auto Responses'!$J$8),0,IF(OR($F272=$G272,$H272='Auto Responses'!$J$7),1,0)))))</f>
        <v>1</v>
      </c>
      <c r="M272" s="10" t="str">
        <f>VLOOKUP($A272,'Privacy Analyst Evaluation'!$A$46:$K$120,10,0)&amp;""</f>
        <v/>
      </c>
      <c r="N272" s="10">
        <f t="shared" si="65"/>
        <v>0</v>
      </c>
      <c r="O272" s="114">
        <f t="shared" si="58"/>
        <v>5</v>
      </c>
      <c r="P272" s="114">
        <f t="shared" si="66"/>
        <v>5</v>
      </c>
      <c r="Q272" s="114">
        <f t="shared" si="59"/>
        <v>0</v>
      </c>
      <c r="R272" s="114">
        <f t="shared" si="67"/>
        <v>0</v>
      </c>
      <c r="S272" s="114">
        <f t="shared" si="60"/>
        <v>0</v>
      </c>
      <c r="T272" s="114">
        <f t="shared" si="61"/>
        <v>0</v>
      </c>
      <c r="U272" s="114">
        <f t="shared" si="68"/>
        <v>71</v>
      </c>
      <c r="V272" s="114">
        <f t="shared" si="62"/>
        <v>0</v>
      </c>
    </row>
    <row r="273" spans="1:22" ht="60">
      <c r="A273" s="10" t="str">
        <f>Questions!$A273</f>
        <v>PRPO-12</v>
      </c>
      <c r="B273" s="10" t="str">
        <f t="shared" si="63"/>
        <v>PRPO</v>
      </c>
      <c r="C273" s="10" t="str">
        <f>VLOOKUP($A273,Questions!$A$3:$L$333,2,0)&amp;""</f>
        <v>Do you share any institutional data with law enforcement without a valid warrant?*</v>
      </c>
      <c r="D273" s="10" t="str">
        <f>VLOOKUP($A273,Questions!$A$3:$L$333,11,0)&amp;""</f>
        <v/>
      </c>
      <c r="E273" s="10" t="str">
        <f>VLOOKUP($A273,Questions!$A$3:$L$333,12,0)&amp;""</f>
        <v>Privacy</v>
      </c>
      <c r="F273" s="10" t="str">
        <f>VLOOKUP($A273,'Privacy Analyst Evaluation'!$A$46:$K$120,3,0)&amp;""</f>
        <v>no</v>
      </c>
      <c r="G273" s="10" t="str">
        <f>VLOOKUP($A273,'Privacy Analyst Evaluation'!$A$46:$K$120,7,0)&amp;""</f>
        <v>No</v>
      </c>
      <c r="H273" s="10" t="str">
        <f>VLOOKUP($A273,'Privacy Analyst Evaluation'!$A$46:$K$120,8,0)&amp;""</f>
        <v/>
      </c>
      <c r="I273" s="10" t="str">
        <f>VLOOKUP($A273,'Privacy Analyst Evaluation'!$A$46:$K$120,9,0)&amp;""</f>
        <v>Critical Importance</v>
      </c>
      <c r="J273" s="10" t="str">
        <f>VLOOKUP($A273,'Privacy Analyst Evaluation'!$A$46:$K$120,10,0)&amp;""</f>
        <v/>
      </c>
      <c r="K273" s="10">
        <f t="shared" si="64"/>
        <v>20</v>
      </c>
      <c r="L273" s="114">
        <f>IF($E273="Not Scored", "N/A",IF(AND($D273='Auto Responses'!$J$27,$H273=""),"N/A",IF(AND($D273='Auto Responses'!$J$27,$H273='Auto Responses'!$J$7),1,IF(AND($D273='Auto Responses'!$J$27,$H273='Auto Responses'!$J$8),0,IF(OR($F273=$G273,$H273='Auto Responses'!$J$7),1,0)))))</f>
        <v>1</v>
      </c>
      <c r="M273" s="10" t="str">
        <f>VLOOKUP($A273,'Privacy Analyst Evaluation'!$A$46:$K$120,10,0)&amp;""</f>
        <v/>
      </c>
      <c r="N273" s="10">
        <f t="shared" si="65"/>
        <v>1</v>
      </c>
      <c r="O273" s="114">
        <f t="shared" si="58"/>
        <v>20</v>
      </c>
      <c r="P273" s="114">
        <f t="shared" si="66"/>
        <v>20</v>
      </c>
      <c r="Q273" s="114">
        <f t="shared" si="59"/>
        <v>0</v>
      </c>
      <c r="R273" s="114">
        <f t="shared" si="67"/>
        <v>0</v>
      </c>
      <c r="S273" s="114">
        <f t="shared" si="60"/>
        <v>0</v>
      </c>
      <c r="T273" s="114">
        <f t="shared" si="61"/>
        <v>1</v>
      </c>
      <c r="U273" s="114">
        <f t="shared" si="68"/>
        <v>72</v>
      </c>
      <c r="V273" s="114">
        <f t="shared" si="62"/>
        <v>72</v>
      </c>
    </row>
    <row r="274" spans="1:22" ht="60">
      <c r="A274" s="10" t="str">
        <f>Questions!$A274</f>
        <v>PRPO-13</v>
      </c>
      <c r="B274" s="10" t="str">
        <f t="shared" si="63"/>
        <v>PRPO</v>
      </c>
      <c r="C274" s="10" t="str">
        <f>VLOOKUP($A274,Questions!$A$3:$L$333,2,0)&amp;""</f>
        <v>Does your incident response team include a privacy analyst/officer?</v>
      </c>
      <c r="D274" s="10" t="str">
        <f>VLOOKUP($A274,Questions!$A$3:$L$333,11,0)&amp;""</f>
        <v/>
      </c>
      <c r="E274" s="10" t="str">
        <f>VLOOKUP($A274,Questions!$A$3:$L$333,12,0)&amp;""</f>
        <v>Privacy</v>
      </c>
      <c r="F274" s="10" t="str">
        <f>VLOOKUP($A274,'Privacy Analyst Evaluation'!$A$46:$K$120,3,0)&amp;""</f>
        <v>yes</v>
      </c>
      <c r="G274" s="10" t="str">
        <f>VLOOKUP($A274,'Privacy Analyst Evaluation'!$A$46:$K$120,7,0)&amp;""</f>
        <v>Yes</v>
      </c>
      <c r="H274" s="10" t="str">
        <f>VLOOKUP($A274,'Privacy Analyst Evaluation'!$A$46:$K$120,8,0)&amp;""</f>
        <v/>
      </c>
      <c r="I274" s="10" t="str">
        <f>VLOOKUP($A274,'Privacy Analyst Evaluation'!$A$46:$K$120,9,0)&amp;""</f>
        <v>Minor Importance</v>
      </c>
      <c r="J274" s="10" t="str">
        <f>VLOOKUP($A274,'Privacy Analyst Evaluation'!$A$46:$K$120,10,0)&amp;""</f>
        <v/>
      </c>
      <c r="K274" s="10">
        <f t="shared" si="64"/>
        <v>5</v>
      </c>
      <c r="L274" s="114">
        <f>IF($E274="Not Scored", "N/A",IF(AND($D274='Auto Responses'!$J$27,$H274=""),"N/A",IF(AND($D274='Auto Responses'!$J$27,$H274='Auto Responses'!$J$7),1,IF(AND($D274='Auto Responses'!$J$27,$H274='Auto Responses'!$J$8),0,IF(OR($F274=$G274,$H274='Auto Responses'!$J$7),1,0)))))</f>
        <v>1</v>
      </c>
      <c r="M274" s="10" t="str">
        <f>VLOOKUP($A274,'Privacy Analyst Evaluation'!$A$46:$K$120,10,0)&amp;""</f>
        <v/>
      </c>
      <c r="N274" s="10">
        <f t="shared" si="65"/>
        <v>0</v>
      </c>
      <c r="O274" s="114">
        <f t="shared" si="58"/>
        <v>5</v>
      </c>
      <c r="P274" s="114">
        <f t="shared" si="66"/>
        <v>5</v>
      </c>
      <c r="Q274" s="114">
        <f t="shared" si="59"/>
        <v>0</v>
      </c>
      <c r="R274" s="114">
        <f t="shared" si="67"/>
        <v>0</v>
      </c>
      <c r="S274" s="114">
        <f t="shared" si="60"/>
        <v>0</v>
      </c>
      <c r="T274" s="114">
        <f t="shared" si="61"/>
        <v>0</v>
      </c>
      <c r="U274" s="114">
        <f t="shared" si="68"/>
        <v>72</v>
      </c>
      <c r="V274" s="114">
        <f t="shared" si="62"/>
        <v>0</v>
      </c>
    </row>
    <row r="275" spans="1:22" ht="60">
      <c r="A275" s="10" t="str">
        <f>Questions!$A275</f>
        <v>INTL-01</v>
      </c>
      <c r="B275" s="10" t="str">
        <f t="shared" si="63"/>
        <v>INTL</v>
      </c>
      <c r="C275" s="10" t="str">
        <f>VLOOKUP($A275,Questions!$A$3:$L$333,2,0)&amp;""</f>
        <v>Will data be collected from or processed in or stored in the European Economic Area (EEA)?</v>
      </c>
      <c r="D275" s="10" t="str">
        <f>VLOOKUP($A275,Questions!$A$3:$L$333,11,0)&amp;""</f>
        <v/>
      </c>
      <c r="E275" s="10" t="str">
        <f>VLOOKUP($A275,Questions!$A$3:$L$333,12,0)&amp;""</f>
        <v>Privacy</v>
      </c>
      <c r="F275" s="10" t="str">
        <f>VLOOKUP($A275,'Privacy Analyst Evaluation'!$A$46:$K$120,3,0)&amp;""</f>
        <v>no</v>
      </c>
      <c r="G275" s="10" t="str">
        <f>VLOOKUP($A275,'Privacy Analyst Evaluation'!$A$46:$K$120,7,0)&amp;""</f>
        <v>No</v>
      </c>
      <c r="H275" s="10" t="str">
        <f>VLOOKUP($A275,'Privacy Analyst Evaluation'!$A$46:$K$120,8,0)&amp;""</f>
        <v/>
      </c>
      <c r="I275" s="10" t="str">
        <f>VLOOKUP($A275,'Privacy Analyst Evaluation'!$A$46:$K$120,9,0)&amp;""</f>
        <v>Standard Importance</v>
      </c>
      <c r="J275" s="10" t="str">
        <f>VLOOKUP($A275,'Privacy Analyst Evaluation'!$A$46:$K$120,10,0)&amp;""</f>
        <v/>
      </c>
      <c r="K275" s="10">
        <f t="shared" si="64"/>
        <v>10</v>
      </c>
      <c r="L275" s="114">
        <f>IF($E275="Not Scored", "N/A",IF(AND($D275='Auto Responses'!$J$27,$H275=""),"N/A",IF(AND($D275='Auto Responses'!$J$27,$H275='Auto Responses'!$J$7),1,IF(AND($D275='Auto Responses'!$J$27,$H275='Auto Responses'!$J$8),0,IF(OR($F275=$G275,$H275='Auto Responses'!$J$7),1,0)))))</f>
        <v>1</v>
      </c>
      <c r="M275" s="10" t="str">
        <f>VLOOKUP($A275,'Privacy Analyst Evaluation'!$A$46:$K$120,10,0)&amp;""</f>
        <v/>
      </c>
      <c r="N275" s="10">
        <f t="shared" si="65"/>
        <v>0</v>
      </c>
      <c r="O275" s="114">
        <f t="shared" si="58"/>
        <v>10</v>
      </c>
      <c r="P275" s="114">
        <f t="shared" si="66"/>
        <v>10</v>
      </c>
      <c r="Q275" s="114">
        <f t="shared" si="59"/>
        <v>0</v>
      </c>
      <c r="R275" s="114">
        <f t="shared" si="67"/>
        <v>0</v>
      </c>
      <c r="S275" s="114">
        <f t="shared" si="60"/>
        <v>0</v>
      </c>
      <c r="T275" s="114">
        <f t="shared" si="61"/>
        <v>0</v>
      </c>
      <c r="U275" s="114">
        <f t="shared" si="68"/>
        <v>72</v>
      </c>
      <c r="V275" s="114">
        <f t="shared" si="62"/>
        <v>0</v>
      </c>
    </row>
    <row r="276" spans="1:22" ht="60">
      <c r="A276" s="10" t="str">
        <f>Questions!$A276</f>
        <v>INTL-02</v>
      </c>
      <c r="B276" s="10" t="str">
        <f t="shared" si="63"/>
        <v>INTL</v>
      </c>
      <c r="C276" s="10" t="str">
        <f>VLOOKUP($A276,Questions!$A$3:$L$333,2,0)&amp;""</f>
        <v>Do you have a data protection officer (DPO)?</v>
      </c>
      <c r="D276" s="10" t="str">
        <f>VLOOKUP($A276,Questions!$A$3:$L$333,11,0)&amp;""</f>
        <v/>
      </c>
      <c r="E276" s="10" t="str">
        <f>VLOOKUP($A276,Questions!$A$3:$L$333,12,0)&amp;""</f>
        <v>Privacy</v>
      </c>
      <c r="F276" s="10" t="str">
        <f>VLOOKUP($A276,'Privacy Analyst Evaluation'!$A$46:$K$120,3,0)&amp;""</f>
        <v>no</v>
      </c>
      <c r="G276" s="10" t="str">
        <f>VLOOKUP($A276,'Privacy Analyst Evaluation'!$A$46:$K$120,7,0)&amp;""</f>
        <v>Yes</v>
      </c>
      <c r="H276" s="10" t="str">
        <f>VLOOKUP($A276,'Privacy Analyst Evaluation'!$A$46:$K$120,8,0)&amp;""</f>
        <v/>
      </c>
      <c r="I276" s="10" t="str">
        <f>VLOOKUP($A276,'Privacy Analyst Evaluation'!$A$46:$K$120,9,0)&amp;""</f>
        <v>Standard Importance</v>
      </c>
      <c r="J276" s="10" t="str">
        <f>VLOOKUP($A276,'Privacy Analyst Evaluation'!$A$46:$K$120,10,0)&amp;""</f>
        <v/>
      </c>
      <c r="K276" s="10">
        <f t="shared" si="64"/>
        <v>10</v>
      </c>
      <c r="L276" s="114">
        <f>IF($E276="Not Scored", "N/A",IF(AND($D276='Auto Responses'!$J$27,$H276=""),"N/A",IF(AND($D276='Auto Responses'!$J$27,$H276='Auto Responses'!$J$7),1,IF(AND($D276='Auto Responses'!$J$27,$H276='Auto Responses'!$J$8),0,IF(OR($F276=$G276,$H276='Auto Responses'!$J$7),1,0)))))</f>
        <v>0</v>
      </c>
      <c r="M276" s="10" t="str">
        <f>VLOOKUP($A276,'Privacy Analyst Evaluation'!$A$46:$K$120,10,0)&amp;""</f>
        <v/>
      </c>
      <c r="N276" s="10">
        <f t="shared" si="65"/>
        <v>0</v>
      </c>
      <c r="O276" s="114">
        <f t="shared" si="58"/>
        <v>10</v>
      </c>
      <c r="P276" s="114">
        <f t="shared" si="66"/>
        <v>0</v>
      </c>
      <c r="Q276" s="114">
        <f t="shared" si="59"/>
        <v>0</v>
      </c>
      <c r="R276" s="114">
        <f t="shared" si="67"/>
        <v>0</v>
      </c>
      <c r="S276" s="114">
        <f t="shared" si="60"/>
        <v>0</v>
      </c>
      <c r="T276" s="114">
        <f t="shared" si="61"/>
        <v>0</v>
      </c>
      <c r="U276" s="114">
        <f t="shared" si="68"/>
        <v>72</v>
      </c>
      <c r="V276" s="114">
        <f t="shared" si="62"/>
        <v>0</v>
      </c>
    </row>
    <row r="277" spans="1:22" ht="60">
      <c r="A277" s="10" t="str">
        <f>Questions!$A277</f>
        <v>INTL-03</v>
      </c>
      <c r="B277" s="10" t="str">
        <f t="shared" si="63"/>
        <v>INTL</v>
      </c>
      <c r="C277" s="10" t="str">
        <f>VLOOKUP($A277,Questions!$A$3:$L$333,2,0)&amp;""</f>
        <v>Will you sign appropriate GDPR Standard Contractual Clauses (SCCs) with the institution?</v>
      </c>
      <c r="D277" s="10" t="str">
        <f>VLOOKUP($A277,Questions!$A$3:$L$333,11,0)&amp;""</f>
        <v/>
      </c>
      <c r="E277" s="10" t="str">
        <f>VLOOKUP($A277,Questions!$A$3:$L$333,12,0)&amp;""</f>
        <v>Privacy</v>
      </c>
      <c r="F277" s="10" t="str">
        <f>VLOOKUP($A277,'Privacy Analyst Evaluation'!$A$46:$K$120,3,0)&amp;""</f>
        <v>no</v>
      </c>
      <c r="G277" s="10" t="str">
        <f>VLOOKUP($A277,'Privacy Analyst Evaluation'!$A$46:$K$120,7,0)&amp;""</f>
        <v>Yes</v>
      </c>
      <c r="H277" s="10" t="str">
        <f>VLOOKUP($A277,'Privacy Analyst Evaluation'!$A$46:$K$120,8,0)&amp;""</f>
        <v/>
      </c>
      <c r="I277" s="10" t="str">
        <f>VLOOKUP($A277,'Privacy Analyst Evaluation'!$A$46:$K$120,9,0)&amp;""</f>
        <v>Standard Importance</v>
      </c>
      <c r="J277" s="10" t="str">
        <f>VLOOKUP($A277,'Privacy Analyst Evaluation'!$A$46:$K$120,10,0)&amp;""</f>
        <v/>
      </c>
      <c r="K277" s="10">
        <f t="shared" si="64"/>
        <v>10</v>
      </c>
      <c r="L277" s="114">
        <f>IF($E277="Not Scored", "N/A",IF(AND($D277='Auto Responses'!$J$27,$H277=""),"N/A",IF(AND($D277='Auto Responses'!$J$27,$H277='Auto Responses'!$J$7),1,IF(AND($D277='Auto Responses'!$J$27,$H277='Auto Responses'!$J$8),0,IF(OR($F277=$G277,$H277='Auto Responses'!$J$7),1,0)))))</f>
        <v>0</v>
      </c>
      <c r="M277" s="10" t="str">
        <f>VLOOKUP($A277,'Privacy Analyst Evaluation'!$A$46:$K$120,10,0)&amp;""</f>
        <v/>
      </c>
      <c r="N277" s="10">
        <f t="shared" si="65"/>
        <v>0</v>
      </c>
      <c r="O277" s="114">
        <f t="shared" si="58"/>
        <v>10</v>
      </c>
      <c r="P277" s="114">
        <f t="shared" si="66"/>
        <v>0</v>
      </c>
      <c r="Q277" s="114">
        <f t="shared" si="59"/>
        <v>0</v>
      </c>
      <c r="R277" s="114">
        <f t="shared" si="67"/>
        <v>0</v>
      </c>
      <c r="S277" s="114">
        <f t="shared" si="60"/>
        <v>0</v>
      </c>
      <c r="T277" s="114">
        <f t="shared" si="61"/>
        <v>0</v>
      </c>
      <c r="U277" s="114">
        <f t="shared" si="68"/>
        <v>72</v>
      </c>
      <c r="V277" s="114">
        <f t="shared" si="62"/>
        <v>0</v>
      </c>
    </row>
    <row r="278" spans="1:22" ht="60">
      <c r="A278" s="10" t="str">
        <f>Questions!$A278</f>
        <v>INTL-04</v>
      </c>
      <c r="B278" s="10" t="str">
        <f t="shared" si="63"/>
        <v>INTL</v>
      </c>
      <c r="C278" s="10" t="str">
        <f>VLOOKUP($A278,Questions!$A$3:$L$333,2,0)&amp;""</f>
        <v>Will data be collected from or processed in or stored in China?</v>
      </c>
      <c r="D278" s="10" t="str">
        <f>VLOOKUP($A278,Questions!$A$3:$L$333,11,0)&amp;""</f>
        <v/>
      </c>
      <c r="E278" s="10" t="str">
        <f>VLOOKUP($A278,Questions!$A$3:$L$333,12,0)&amp;""</f>
        <v>Privacy</v>
      </c>
      <c r="F278" s="10" t="str">
        <f>VLOOKUP($A278,'Privacy Analyst Evaluation'!$A$46:$K$120,3,0)&amp;""</f>
        <v>no</v>
      </c>
      <c r="G278" s="10" t="str">
        <f>VLOOKUP($A278,'Privacy Analyst Evaluation'!$A$46:$K$120,7,0)&amp;""</f>
        <v>No</v>
      </c>
      <c r="H278" s="10" t="str">
        <f>VLOOKUP($A278,'Privacy Analyst Evaluation'!$A$46:$K$120,8,0)&amp;""</f>
        <v/>
      </c>
      <c r="I278" s="10" t="str">
        <f>VLOOKUP($A278,'Privacy Analyst Evaluation'!$A$46:$K$120,9,0)&amp;""</f>
        <v>Standard Importance</v>
      </c>
      <c r="J278" s="10" t="str">
        <f>VLOOKUP($A278,'Privacy Analyst Evaluation'!$A$46:$K$120,10,0)&amp;""</f>
        <v/>
      </c>
      <c r="K278" s="10">
        <f t="shared" si="64"/>
        <v>10</v>
      </c>
      <c r="L278" s="114">
        <f>IF($E278="Not Scored", "N/A",IF(AND($D278='Auto Responses'!$J$27,$H278=""),"N/A",IF(AND($D278='Auto Responses'!$J$27,$H278='Auto Responses'!$J$7),1,IF(AND($D278='Auto Responses'!$J$27,$H278='Auto Responses'!$J$8),0,IF(OR($F278=$G278,$H278='Auto Responses'!$J$7),1,0)))))</f>
        <v>1</v>
      </c>
      <c r="M278" s="10" t="str">
        <f>VLOOKUP($A278,'Privacy Analyst Evaluation'!$A$46:$K$120,10,0)&amp;""</f>
        <v/>
      </c>
      <c r="N278" s="10">
        <f t="shared" si="65"/>
        <v>0</v>
      </c>
      <c r="O278" s="114">
        <f t="shared" si="58"/>
        <v>10</v>
      </c>
      <c r="P278" s="114">
        <f t="shared" si="66"/>
        <v>10</v>
      </c>
      <c r="Q278" s="114">
        <f t="shared" si="59"/>
        <v>0</v>
      </c>
      <c r="R278" s="114">
        <f t="shared" si="67"/>
        <v>0</v>
      </c>
      <c r="S278" s="114">
        <f t="shared" si="60"/>
        <v>0</v>
      </c>
      <c r="T278" s="114">
        <f t="shared" si="61"/>
        <v>0</v>
      </c>
      <c r="U278" s="114">
        <f t="shared" si="68"/>
        <v>72</v>
      </c>
      <c r="V278" s="114">
        <f t="shared" si="62"/>
        <v>0</v>
      </c>
    </row>
    <row r="279" spans="1:22" ht="60">
      <c r="A279" s="10" t="str">
        <f>Questions!$A279</f>
        <v>INTL-05</v>
      </c>
      <c r="B279" s="10" t="str">
        <f t="shared" si="63"/>
        <v>INTL</v>
      </c>
      <c r="C279" s="10" t="str">
        <f>VLOOKUP($A279,Questions!$A$3:$L$333,2,0)&amp;""</f>
        <v>Do you comply with PIPL security, privacy, and data localization requirements?</v>
      </c>
      <c r="D279" s="10" t="str">
        <f>VLOOKUP($A279,Questions!$A$3:$L$333,11,0)&amp;""</f>
        <v/>
      </c>
      <c r="E279" s="10" t="str">
        <f>VLOOKUP($A279,Questions!$A$3:$L$333,12,0)&amp;""</f>
        <v>Privacy</v>
      </c>
      <c r="F279" s="10" t="str">
        <f>VLOOKUP($A279,'Privacy Analyst Evaluation'!$A$46:$K$120,3,0)&amp;""</f>
        <v>no</v>
      </c>
      <c r="G279" s="10" t="str">
        <f>VLOOKUP($A279,'Privacy Analyst Evaluation'!$A$46:$K$120,7,0)&amp;""</f>
        <v>Yes</v>
      </c>
      <c r="H279" s="10" t="str">
        <f>VLOOKUP($A279,'Privacy Analyst Evaluation'!$A$46:$K$120,8,0)&amp;""</f>
        <v/>
      </c>
      <c r="I279" s="10" t="str">
        <f>VLOOKUP($A279,'Privacy Analyst Evaluation'!$A$46:$K$120,9,0)&amp;""</f>
        <v>Standard Importance</v>
      </c>
      <c r="J279" s="10" t="str">
        <f>VLOOKUP($A279,'Privacy Analyst Evaluation'!$A$46:$K$120,10,0)&amp;""</f>
        <v/>
      </c>
      <c r="K279" s="10">
        <f t="shared" si="64"/>
        <v>10</v>
      </c>
      <c r="L279" s="114">
        <f>IF($E279="Not Scored", "N/A",IF(AND($D279='Auto Responses'!$J$27,$H279=""),"N/A",IF(AND($D279='Auto Responses'!$J$27,$H279='Auto Responses'!$J$7),1,IF(AND($D279='Auto Responses'!$J$27,$H279='Auto Responses'!$J$8),0,IF(OR($F279=$G279,$H279='Auto Responses'!$J$7),1,0)))))</f>
        <v>0</v>
      </c>
      <c r="M279" s="10" t="str">
        <f>VLOOKUP($A279,'Privacy Analyst Evaluation'!$A$46:$K$120,10,0)&amp;""</f>
        <v/>
      </c>
      <c r="N279" s="10">
        <f t="shared" si="65"/>
        <v>0</v>
      </c>
      <c r="O279" s="114">
        <f>IF(OR($E279="Not Scored",$F279="N/A",$F$24="No"),"N/A",IF($J279="",$K279,IF($J279="Minor Importance",5,IF($J279="Standard Importance",10,IF($J279="Critical Importance",20,0)))))</f>
        <v>10</v>
      </c>
      <c r="P279" s="114">
        <f t="shared" si="66"/>
        <v>0</v>
      </c>
      <c r="Q279" s="114">
        <f t="shared" si="59"/>
        <v>0</v>
      </c>
      <c r="R279" s="114">
        <f t="shared" si="67"/>
        <v>0</v>
      </c>
      <c r="S279" s="114">
        <f t="shared" si="60"/>
        <v>0</v>
      </c>
      <c r="T279" s="114">
        <f t="shared" si="61"/>
        <v>0</v>
      </c>
      <c r="U279" s="114">
        <f t="shared" si="68"/>
        <v>72</v>
      </c>
      <c r="V279" s="114">
        <f t="shared" si="62"/>
        <v>0</v>
      </c>
    </row>
    <row r="280" spans="1:22" ht="60">
      <c r="A280" s="10" t="str">
        <f>Questions!$A280</f>
        <v>DRPV-01</v>
      </c>
      <c r="B280" s="10" t="str">
        <f t="shared" si="63"/>
        <v>DRPV</v>
      </c>
      <c r="C280" s="10" t="str">
        <f>VLOOKUP($A280,Questions!$A$3:$L$333,2,0)&amp;""</f>
        <v>Have you performed a Data Privacy Impact Assesssment for the solution/project?</v>
      </c>
      <c r="D280" s="10" t="str">
        <f>VLOOKUP($A280,Questions!$A$3:$L$333,11,0)&amp;""</f>
        <v/>
      </c>
      <c r="E280" s="10" t="str">
        <f>VLOOKUP($A280,Questions!$A$3:$L$333,12,0)&amp;""</f>
        <v>Privacy</v>
      </c>
      <c r="F280" s="10" t="str">
        <f>VLOOKUP($A280,'Privacy Analyst Evaluation'!$A$46:$K$120,3,0)&amp;""</f>
        <v>yes</v>
      </c>
      <c r="G280" s="10" t="str">
        <f>VLOOKUP($A280,'Privacy Analyst Evaluation'!$A$46:$K$120,7,0)&amp;""</f>
        <v>Yes</v>
      </c>
      <c r="H280" s="10" t="str">
        <f>VLOOKUP($A280,'Privacy Analyst Evaluation'!$A$46:$K$120,8,0)&amp;""</f>
        <v/>
      </c>
      <c r="I280" s="10" t="str">
        <f>VLOOKUP($A280,'Privacy Analyst Evaluation'!$A$46:$K$120,9,0)&amp;""</f>
        <v>Standard Importance</v>
      </c>
      <c r="J280" s="10" t="str">
        <f>VLOOKUP($A280,'Privacy Analyst Evaluation'!$A$46:$K$120,10,0)&amp;""</f>
        <v/>
      </c>
      <c r="K280" s="10">
        <f t="shared" si="64"/>
        <v>10</v>
      </c>
      <c r="L280" s="114">
        <f>IF($E280="Not Scored", "N/A",IF(AND($D280='Auto Responses'!$J$27,$H280=""),"N/A",IF(AND($D280='Auto Responses'!$J$27,$H280='Auto Responses'!$J$7),1,IF(AND($D280='Auto Responses'!$J$27,$H280='Auto Responses'!$J$8),0,IF(OR($F280=$G280,$H280='Auto Responses'!$J$7),1,0)))))</f>
        <v>1</v>
      </c>
      <c r="M280" s="10" t="str">
        <f>VLOOKUP($A280,'Privacy Analyst Evaluation'!$A$46:$K$120,10,0)&amp;""</f>
        <v/>
      </c>
      <c r="N280" s="10">
        <f t="shared" si="65"/>
        <v>0</v>
      </c>
      <c r="O280" s="114">
        <f t="shared" si="58"/>
        <v>10</v>
      </c>
      <c r="P280" s="114">
        <f t="shared" si="66"/>
        <v>10</v>
      </c>
      <c r="Q280" s="114">
        <f t="shared" si="59"/>
        <v>0</v>
      </c>
      <c r="R280" s="114">
        <f t="shared" si="67"/>
        <v>0</v>
      </c>
      <c r="S280" s="114">
        <f t="shared" si="60"/>
        <v>0</v>
      </c>
      <c r="T280" s="114">
        <f t="shared" si="61"/>
        <v>0</v>
      </c>
      <c r="U280" s="114">
        <f t="shared" si="68"/>
        <v>72</v>
      </c>
      <c r="V280" s="114">
        <f t="shared" si="62"/>
        <v>0</v>
      </c>
    </row>
    <row r="281" spans="1:22" ht="60">
      <c r="A281" s="10" t="str">
        <f>Questions!$A281</f>
        <v>DRPV-02</v>
      </c>
      <c r="B281" s="10" t="str">
        <f t="shared" si="63"/>
        <v>DRPV</v>
      </c>
      <c r="C281" s="10" t="str">
        <f>VLOOKUP($A281,Questions!$A$3:$L$333,2,0)&amp;""</f>
        <v>Do you provide an end-user privacy notice about privacy policies and procedures that identify the purpose(s) for which personal information is collected, used, retained, and disclosed?</v>
      </c>
      <c r="D281" s="10" t="str">
        <f>VLOOKUP($A281,Questions!$A$3:$L$333,11,0)&amp;""</f>
        <v/>
      </c>
      <c r="E281" s="10" t="str">
        <f>VLOOKUP($A281,Questions!$A$3:$L$333,12,0)&amp;""</f>
        <v>Privacy</v>
      </c>
      <c r="F281" s="10" t="str">
        <f>VLOOKUP($A281,'Privacy Analyst Evaluation'!$A$46:$K$120,3,0)&amp;""</f>
        <v>yes</v>
      </c>
      <c r="G281" s="10" t="str">
        <f>VLOOKUP($A281,'Privacy Analyst Evaluation'!$A$46:$K$120,7,0)&amp;""</f>
        <v>Yes</v>
      </c>
      <c r="H281" s="10" t="str">
        <f>VLOOKUP($A281,'Privacy Analyst Evaluation'!$A$46:$K$120,8,0)&amp;""</f>
        <v/>
      </c>
      <c r="I281" s="10" t="str">
        <f>VLOOKUP($A281,'Privacy Analyst Evaluation'!$A$46:$K$120,9,0)&amp;""</f>
        <v>Standard Importance</v>
      </c>
      <c r="J281" s="10" t="str">
        <f>VLOOKUP($A281,'Privacy Analyst Evaluation'!$A$46:$K$120,10,0)&amp;""</f>
        <v/>
      </c>
      <c r="K281" s="10">
        <f t="shared" si="64"/>
        <v>10</v>
      </c>
      <c r="L281" s="114">
        <f>IF($E281="Not Scored", "N/A",IF(AND($D281='Auto Responses'!$J$27,$H281=""),"N/A",IF(AND($D281='Auto Responses'!$J$27,$H281='Auto Responses'!$J$7),1,IF(AND($D281='Auto Responses'!$J$27,$H281='Auto Responses'!$J$8),0,IF(OR($F281=$G281,$H281='Auto Responses'!$J$7),1,0)))))</f>
        <v>1</v>
      </c>
      <c r="M281" s="10" t="str">
        <f>VLOOKUP($A281,'Privacy Analyst Evaluation'!$A$46:$K$120,10,0)&amp;""</f>
        <v/>
      </c>
      <c r="N281" s="10">
        <f t="shared" si="65"/>
        <v>0</v>
      </c>
      <c r="O281" s="114">
        <f t="shared" si="58"/>
        <v>10</v>
      </c>
      <c r="P281" s="114">
        <f t="shared" si="66"/>
        <v>10</v>
      </c>
      <c r="Q281" s="114">
        <f t="shared" si="59"/>
        <v>0</v>
      </c>
      <c r="R281" s="114">
        <f t="shared" si="67"/>
        <v>0</v>
      </c>
      <c r="S281" s="114">
        <f t="shared" si="60"/>
        <v>0</v>
      </c>
      <c r="T281" s="114">
        <f t="shared" si="61"/>
        <v>0</v>
      </c>
      <c r="U281" s="114">
        <f t="shared" si="68"/>
        <v>72</v>
      </c>
      <c r="V281" s="114">
        <f t="shared" si="62"/>
        <v>0</v>
      </c>
    </row>
    <row r="282" spans="1:22" ht="60">
      <c r="A282" s="10" t="str">
        <f>Questions!$A282</f>
        <v>DRPV-03</v>
      </c>
      <c r="B282" s="10" t="str">
        <f t="shared" si="63"/>
        <v>DRPV</v>
      </c>
      <c r="C282" s="10" t="str">
        <f>VLOOKUP($A282,Questions!$A$3:$L$333,2,0)&amp;""</f>
        <v>Do you describe the choices available to the individual and obtain implicit or explicit consent with respect to the collection, use, and disclosure of personal information?</v>
      </c>
      <c r="D282" s="10" t="str">
        <f>VLOOKUP($A282,Questions!$A$3:$L$333,11,0)&amp;""</f>
        <v/>
      </c>
      <c r="E282" s="10" t="str">
        <f>VLOOKUP($A282,Questions!$A$3:$L$333,12,0)&amp;""</f>
        <v>Privacy</v>
      </c>
      <c r="F282" s="10" t="str">
        <f>VLOOKUP($A282,'Privacy Analyst Evaluation'!$A$46:$K$120,3,0)&amp;""</f>
        <v>yes</v>
      </c>
      <c r="G282" s="10" t="str">
        <f>VLOOKUP($A282,'Privacy Analyst Evaluation'!$A$46:$K$120,7,0)&amp;""</f>
        <v>Yes</v>
      </c>
      <c r="H282" s="10" t="str">
        <f>VLOOKUP($A282,'Privacy Analyst Evaluation'!$A$46:$K$120,8,0)&amp;""</f>
        <v/>
      </c>
      <c r="I282" s="10" t="str">
        <f>VLOOKUP($A282,'Privacy Analyst Evaluation'!$A$46:$K$120,9,0)&amp;""</f>
        <v>Standard Importance</v>
      </c>
      <c r="J282" s="10" t="str">
        <f>VLOOKUP($A282,'Privacy Analyst Evaluation'!$A$46:$K$120,10,0)&amp;""</f>
        <v/>
      </c>
      <c r="K282" s="10">
        <f t="shared" si="64"/>
        <v>10</v>
      </c>
      <c r="L282" s="114">
        <f>IF($E282="Not Scored", "N/A",IF(AND($D282='Auto Responses'!$J$27,$H282=""),"N/A",IF(AND($D282='Auto Responses'!$J$27,$H282='Auto Responses'!$J$7),1,IF(AND($D282='Auto Responses'!$J$27,$H282='Auto Responses'!$J$8),0,IF(OR($F282=$G282,$H282='Auto Responses'!$J$7),1,0)))))</f>
        <v>1</v>
      </c>
      <c r="M282" s="10" t="str">
        <f>VLOOKUP($A282,'Privacy Analyst Evaluation'!$A$46:$K$120,10,0)&amp;""</f>
        <v/>
      </c>
      <c r="N282" s="10">
        <f t="shared" si="65"/>
        <v>0</v>
      </c>
      <c r="O282" s="114">
        <f>IF(OR($E282="Not Scored",$F282="N/A",$F$24="No"),"N/A",IF($J282="",$K282,IF($J282="Minor Importance",5,IF($J282="Standard Importance",10,IF($J282="Critical Importance",20,0)))))</f>
        <v>10</v>
      </c>
      <c r="P282" s="114">
        <f t="shared" si="66"/>
        <v>10</v>
      </c>
      <c r="Q282" s="114">
        <f t="shared" si="59"/>
        <v>0</v>
      </c>
      <c r="R282" s="114">
        <f t="shared" si="67"/>
        <v>0</v>
      </c>
      <c r="S282" s="114">
        <f t="shared" si="60"/>
        <v>0</v>
      </c>
      <c r="T282" s="114">
        <f t="shared" si="61"/>
        <v>0</v>
      </c>
      <c r="U282" s="114">
        <f t="shared" si="68"/>
        <v>72</v>
      </c>
      <c r="V282" s="114">
        <f t="shared" si="62"/>
        <v>0</v>
      </c>
    </row>
    <row r="283" spans="1:22" ht="60">
      <c r="A283" s="10" t="str">
        <f>Questions!$A283</f>
        <v>DRPV-04</v>
      </c>
      <c r="B283" s="10" t="str">
        <f t="shared" si="63"/>
        <v>DRPV</v>
      </c>
      <c r="C283" s="10" t="str">
        <f>VLOOKUP($A283,Questions!$A$3:$L$333,2,0)&amp;""</f>
        <v>Do you collect personal information only for the purpose(s) identified in the agreement with an institution or, if there is none, the purpose(s) identified in the privacy notice?</v>
      </c>
      <c r="D283" s="10" t="str">
        <f>VLOOKUP($A283,Questions!$A$3:$L$333,11,0)&amp;""</f>
        <v/>
      </c>
      <c r="E283" s="10" t="str">
        <f>VLOOKUP($A283,Questions!$A$3:$L$333,12,0)&amp;""</f>
        <v>Privacy</v>
      </c>
      <c r="F283" s="10" t="str">
        <f>VLOOKUP($A283,'Privacy Analyst Evaluation'!$A$46:$K$120,3,0)&amp;""</f>
        <v>yes</v>
      </c>
      <c r="G283" s="10" t="str">
        <f>VLOOKUP($A283,'Privacy Analyst Evaluation'!$A$46:$K$120,7,0)&amp;""</f>
        <v>Yes</v>
      </c>
      <c r="H283" s="10" t="str">
        <f>VLOOKUP($A283,'Privacy Analyst Evaluation'!$A$46:$K$120,8,0)&amp;""</f>
        <v/>
      </c>
      <c r="I283" s="10" t="str">
        <f>VLOOKUP($A283,'Privacy Analyst Evaluation'!$A$46:$K$120,9,0)&amp;""</f>
        <v>Standard Importance</v>
      </c>
      <c r="J283" s="10" t="str">
        <f>VLOOKUP($A283,'Privacy Analyst Evaluation'!$A$46:$K$120,10,0)&amp;""</f>
        <v/>
      </c>
      <c r="K283" s="10">
        <f t="shared" si="64"/>
        <v>10</v>
      </c>
      <c r="L283" s="114">
        <f>IF($E283="Not Scored", "N/A",IF(AND($D283='Auto Responses'!$J$27,$H283=""),"N/A",IF(AND($D283='Auto Responses'!$J$27,$H283='Auto Responses'!$J$7),1,IF(AND($D283='Auto Responses'!$J$27,$H283='Auto Responses'!$J$8),0,IF(OR($F283=$G283,$H283='Auto Responses'!$J$7),1,0)))))</f>
        <v>1</v>
      </c>
      <c r="M283" s="10" t="str">
        <f>VLOOKUP($A283,'Privacy Analyst Evaluation'!$A$46:$K$120,10,0)&amp;""</f>
        <v/>
      </c>
      <c r="N283" s="10">
        <f t="shared" si="65"/>
        <v>0</v>
      </c>
      <c r="O283" s="114">
        <f t="shared" ref="O283:O293" si="69">IF(OR($E283="Not Scored",$F283="N/A",$F$24="No"),"N/A",IF($J283="",$K283,IF($J283="Minor Importance",5,IF($J283="Standard Importance",10,IF($J283="Critical Importance",20,0)))))</f>
        <v>10</v>
      </c>
      <c r="P283" s="114">
        <f t="shared" si="66"/>
        <v>10</v>
      </c>
      <c r="Q283" s="114">
        <f t="shared" si="59"/>
        <v>0</v>
      </c>
      <c r="R283" s="114">
        <f t="shared" si="67"/>
        <v>0</v>
      </c>
      <c r="S283" s="114">
        <f t="shared" si="60"/>
        <v>0</v>
      </c>
      <c r="T283" s="114">
        <f t="shared" si="61"/>
        <v>0</v>
      </c>
      <c r="U283" s="114">
        <f t="shared" si="68"/>
        <v>72</v>
      </c>
      <c r="V283" s="114">
        <f t="shared" si="62"/>
        <v>0</v>
      </c>
    </row>
    <row r="284" spans="1:22" ht="60">
      <c r="A284" s="10" t="str">
        <f>Questions!$A284</f>
        <v>DRPV-05</v>
      </c>
      <c r="B284" s="10" t="str">
        <f t="shared" si="63"/>
        <v>DRPV</v>
      </c>
      <c r="C284" s="10" t="str">
        <f>VLOOKUP($A284,Questions!$A$3:$L$333,2,0)&amp;""</f>
        <v>Do you have a documented list of personal data your service maintains?</v>
      </c>
      <c r="D284" s="10" t="str">
        <f>VLOOKUP($A284,Questions!$A$3:$L$333,11,0)&amp;""</f>
        <v/>
      </c>
      <c r="E284" s="10" t="str">
        <f>VLOOKUP($A284,Questions!$A$3:$L$333,12,0)&amp;""</f>
        <v>Privacy</v>
      </c>
      <c r="F284" s="10" t="str">
        <f>VLOOKUP($A284,'Privacy Analyst Evaluation'!$A$46:$K$120,3,0)&amp;""</f>
        <v>yes</v>
      </c>
      <c r="G284" s="10" t="str">
        <f>VLOOKUP($A284,'Privacy Analyst Evaluation'!$A$46:$K$120,7,0)&amp;""</f>
        <v>Yes</v>
      </c>
      <c r="H284" s="10" t="str">
        <f>VLOOKUP($A284,'Privacy Analyst Evaluation'!$A$46:$K$120,8,0)&amp;""</f>
        <v/>
      </c>
      <c r="I284" s="10" t="str">
        <f>VLOOKUP($A284,'Privacy Analyst Evaluation'!$A$46:$K$120,9,0)&amp;""</f>
        <v>Standard Importance</v>
      </c>
      <c r="J284" s="10" t="str">
        <f>VLOOKUP($A284,'Privacy Analyst Evaluation'!$A$46:$K$120,10,0)&amp;""</f>
        <v/>
      </c>
      <c r="K284" s="10">
        <f t="shared" si="64"/>
        <v>10</v>
      </c>
      <c r="L284" s="114">
        <f>IF($E284="Not Scored", "N/A",IF(AND($D284='Auto Responses'!$J$27,$H284=""),"N/A",IF(AND($D284='Auto Responses'!$J$27,$H284='Auto Responses'!$J$7),1,IF(AND($D284='Auto Responses'!$J$27,$H284='Auto Responses'!$J$8),0,IF(OR($F284=$G284,$H284='Auto Responses'!$J$7),1,0)))))</f>
        <v>1</v>
      </c>
      <c r="M284" s="10" t="str">
        <f>VLOOKUP($A284,'Privacy Analyst Evaluation'!$A$46:$K$120,10,0)&amp;""</f>
        <v/>
      </c>
      <c r="N284" s="10">
        <f t="shared" si="65"/>
        <v>0</v>
      </c>
      <c r="O284" s="114">
        <f t="shared" si="69"/>
        <v>10</v>
      </c>
      <c r="P284" s="114">
        <f t="shared" si="66"/>
        <v>10</v>
      </c>
      <c r="Q284" s="114">
        <f t="shared" si="59"/>
        <v>0</v>
      </c>
      <c r="R284" s="114">
        <f t="shared" si="67"/>
        <v>0</v>
      </c>
      <c r="S284" s="114">
        <f t="shared" si="60"/>
        <v>0</v>
      </c>
      <c r="T284" s="114">
        <f t="shared" si="61"/>
        <v>0</v>
      </c>
      <c r="U284" s="114">
        <f t="shared" si="68"/>
        <v>72</v>
      </c>
      <c r="V284" s="114">
        <f t="shared" si="62"/>
        <v>0</v>
      </c>
    </row>
    <row r="285" spans="1:22" ht="60">
      <c r="A285" s="10" t="str">
        <f>Questions!$A285</f>
        <v>DRPV-06</v>
      </c>
      <c r="B285" s="10" t="str">
        <f t="shared" si="63"/>
        <v>DRPV</v>
      </c>
      <c r="C285" s="10" t="str">
        <f>VLOOKUP($A285,Questions!$A$3:$L$333,2,0)&amp;""</f>
        <v>Do you retain personal information for only as long as necessary to fulfill the stated purpose(s) or as required by law or regulation and thereafter appropriately dispose of such information?</v>
      </c>
      <c r="D285" s="10" t="str">
        <f>VLOOKUP($A285,Questions!$A$3:$L$333,11,0)&amp;""</f>
        <v/>
      </c>
      <c r="E285" s="10" t="str">
        <f>VLOOKUP($A285,Questions!$A$3:$L$333,12,0)&amp;""</f>
        <v>Privacy</v>
      </c>
      <c r="F285" s="10" t="str">
        <f>VLOOKUP($A285,'Privacy Analyst Evaluation'!$A$46:$K$120,3,0)&amp;""</f>
        <v>yes</v>
      </c>
      <c r="G285" s="10" t="str">
        <f>VLOOKUP($A285,'Privacy Analyst Evaluation'!$A$46:$K$120,7,0)&amp;""</f>
        <v>Yes</v>
      </c>
      <c r="H285" s="10" t="str">
        <f>VLOOKUP($A285,'Privacy Analyst Evaluation'!$A$46:$K$120,8,0)&amp;""</f>
        <v/>
      </c>
      <c r="I285" s="10" t="str">
        <f>VLOOKUP($A285,'Privacy Analyst Evaluation'!$A$46:$K$120,9,0)&amp;""</f>
        <v>Standard Importance</v>
      </c>
      <c r="J285" s="10" t="str">
        <f>VLOOKUP($A285,'Privacy Analyst Evaluation'!$A$46:$K$120,10,0)&amp;""</f>
        <v/>
      </c>
      <c r="K285" s="10">
        <f t="shared" si="64"/>
        <v>10</v>
      </c>
      <c r="L285" s="114">
        <f>IF($E285="Not Scored", "N/A",IF(AND($D285='Auto Responses'!$J$27,$H285=""),"N/A",IF(AND($D285='Auto Responses'!$J$27,$H285='Auto Responses'!$J$7),1,IF(AND($D285='Auto Responses'!$J$27,$H285='Auto Responses'!$J$8),0,IF(OR($F285=$G285,$H285='Auto Responses'!$J$7),1,0)))))</f>
        <v>1</v>
      </c>
      <c r="M285" s="10" t="str">
        <f>VLOOKUP($A285,'Privacy Analyst Evaluation'!$A$46:$K$120,10,0)&amp;""</f>
        <v/>
      </c>
      <c r="N285" s="10">
        <f t="shared" si="65"/>
        <v>0</v>
      </c>
      <c r="O285" s="114">
        <f t="shared" si="69"/>
        <v>10</v>
      </c>
      <c r="P285" s="114">
        <f t="shared" si="66"/>
        <v>10</v>
      </c>
      <c r="Q285" s="114">
        <f t="shared" si="59"/>
        <v>0</v>
      </c>
      <c r="R285" s="114">
        <f t="shared" si="67"/>
        <v>0</v>
      </c>
      <c r="S285" s="114">
        <f t="shared" si="60"/>
        <v>0</v>
      </c>
      <c r="T285" s="114">
        <f t="shared" si="61"/>
        <v>0</v>
      </c>
      <c r="U285" s="114">
        <f t="shared" si="68"/>
        <v>72</v>
      </c>
      <c r="V285" s="114">
        <f t="shared" si="62"/>
        <v>0</v>
      </c>
    </row>
    <row r="286" spans="1:22" ht="60">
      <c r="A286" s="10" t="str">
        <f>Questions!$A286</f>
        <v>DRPV-07</v>
      </c>
      <c r="B286" s="10" t="str">
        <f t="shared" si="63"/>
        <v>DRPV</v>
      </c>
      <c r="C286" s="10" t="str">
        <f>VLOOKUP($A286,Questions!$A$3:$L$333,2,0)&amp;""</f>
        <v>Do you provide individuals with access to their personal information for review and update (i.e., data subject rights)?</v>
      </c>
      <c r="D286" s="10" t="str">
        <f>VLOOKUP($A286,Questions!$A$3:$L$333,11,0)&amp;""</f>
        <v/>
      </c>
      <c r="E286" s="10" t="str">
        <f>VLOOKUP($A286,Questions!$A$3:$L$333,12,0)&amp;""</f>
        <v>Privacy</v>
      </c>
      <c r="F286" s="10" t="str">
        <f>VLOOKUP($A286,'Privacy Analyst Evaluation'!$A$46:$K$120,3,0)&amp;""</f>
        <v>yes</v>
      </c>
      <c r="G286" s="10" t="str">
        <f>VLOOKUP($A286,'Privacy Analyst Evaluation'!$A$46:$K$120,7,0)&amp;""</f>
        <v>Yes</v>
      </c>
      <c r="H286" s="10" t="str">
        <f>VLOOKUP($A286,'Privacy Analyst Evaluation'!$A$46:$K$120,8,0)&amp;""</f>
        <v/>
      </c>
      <c r="I286" s="10" t="str">
        <f>VLOOKUP($A286,'Privacy Analyst Evaluation'!$A$46:$K$120,9,0)&amp;""</f>
        <v>Standard Importance</v>
      </c>
      <c r="J286" s="10" t="str">
        <f>VLOOKUP($A286,'Privacy Analyst Evaluation'!$A$46:$K$120,10,0)&amp;""</f>
        <v/>
      </c>
      <c r="K286" s="10">
        <f t="shared" si="64"/>
        <v>10</v>
      </c>
      <c r="L286" s="114">
        <f>IF($E286="Not Scored", "N/A",IF(AND($D286='Auto Responses'!$J$27,$H286=""),"N/A",IF(AND($D286='Auto Responses'!$J$27,$H286='Auto Responses'!$J$7),1,IF(AND($D286='Auto Responses'!$J$27,$H286='Auto Responses'!$J$8),0,IF(OR($F286=$G286,$H286='Auto Responses'!$J$7),1,0)))))</f>
        <v>1</v>
      </c>
      <c r="M286" s="10" t="str">
        <f>VLOOKUP($A286,'Privacy Analyst Evaluation'!$A$46:$K$120,10,0)&amp;""</f>
        <v/>
      </c>
      <c r="N286" s="10">
        <f t="shared" si="65"/>
        <v>0</v>
      </c>
      <c r="O286" s="114">
        <f t="shared" si="69"/>
        <v>10</v>
      </c>
      <c r="P286" s="114">
        <f t="shared" si="66"/>
        <v>10</v>
      </c>
      <c r="Q286" s="114">
        <f t="shared" si="59"/>
        <v>0</v>
      </c>
      <c r="R286" s="114">
        <f t="shared" si="67"/>
        <v>0</v>
      </c>
      <c r="S286" s="114">
        <f t="shared" si="60"/>
        <v>0</v>
      </c>
      <c r="T286" s="114">
        <f t="shared" si="61"/>
        <v>0</v>
      </c>
      <c r="U286" s="114">
        <f t="shared" si="68"/>
        <v>72</v>
      </c>
      <c r="V286" s="114">
        <f t="shared" si="62"/>
        <v>0</v>
      </c>
    </row>
    <row r="287" spans="1:22" ht="60">
      <c r="A287" s="10" t="str">
        <f>Questions!$A287</f>
        <v>DRPV-08</v>
      </c>
      <c r="B287" s="10" t="str">
        <f t="shared" si="63"/>
        <v>DRPV</v>
      </c>
      <c r="C287" s="10" t="str">
        <f>VLOOKUP($A287,Questions!$A$3:$L$333,2,0)&amp;""</f>
        <v>Do you disclose personal information to third parties only for the purpose(s) identified in the privacy notice or with the implicit or explicit consent of the individual?</v>
      </c>
      <c r="D287" s="10" t="str">
        <f>VLOOKUP($A287,Questions!$A$3:$L$333,11,0)&amp;""</f>
        <v/>
      </c>
      <c r="E287" s="10" t="str">
        <f>VLOOKUP($A287,Questions!$A$3:$L$333,12,0)&amp;""</f>
        <v>Privacy</v>
      </c>
      <c r="F287" s="10" t="str">
        <f>VLOOKUP($A287,'Privacy Analyst Evaluation'!$A$46:$K$120,3,0)&amp;""</f>
        <v>yes</v>
      </c>
      <c r="G287" s="10" t="str">
        <f>VLOOKUP($A287,'Privacy Analyst Evaluation'!$A$46:$K$120,7,0)&amp;""</f>
        <v>Yes</v>
      </c>
      <c r="H287" s="10" t="str">
        <f>VLOOKUP($A287,'Privacy Analyst Evaluation'!$A$46:$K$120,8,0)&amp;""</f>
        <v/>
      </c>
      <c r="I287" s="10" t="str">
        <f>VLOOKUP($A287,'Privacy Analyst Evaluation'!$A$46:$K$120,9,0)&amp;""</f>
        <v>Standard Importance</v>
      </c>
      <c r="J287" s="10" t="str">
        <f>VLOOKUP($A287,'Privacy Analyst Evaluation'!$A$46:$K$120,10,0)&amp;""</f>
        <v/>
      </c>
      <c r="K287" s="10">
        <f t="shared" si="64"/>
        <v>10</v>
      </c>
      <c r="L287" s="114">
        <f>IF($E287="Not Scored", "N/A",IF(AND($D287='Auto Responses'!$J$27,$H287=""),"N/A",IF(AND($D287='Auto Responses'!$J$27,$H287='Auto Responses'!$J$7),1,IF(AND($D287='Auto Responses'!$J$27,$H287='Auto Responses'!$J$8),0,IF(OR($F287=$G287,$H287='Auto Responses'!$J$7),1,0)))))</f>
        <v>1</v>
      </c>
      <c r="M287" s="10" t="str">
        <f>VLOOKUP($A287,'Privacy Analyst Evaluation'!$A$46:$K$120,10,0)&amp;""</f>
        <v/>
      </c>
      <c r="N287" s="10">
        <f t="shared" si="65"/>
        <v>0</v>
      </c>
      <c r="O287" s="114">
        <f t="shared" si="69"/>
        <v>10</v>
      </c>
      <c r="P287" s="114">
        <f t="shared" si="66"/>
        <v>10</v>
      </c>
      <c r="Q287" s="114">
        <f t="shared" si="59"/>
        <v>0</v>
      </c>
      <c r="R287" s="114">
        <f t="shared" si="67"/>
        <v>0</v>
      </c>
      <c r="S287" s="114">
        <f t="shared" si="60"/>
        <v>0</v>
      </c>
      <c r="T287" s="114">
        <f t="shared" si="61"/>
        <v>0</v>
      </c>
      <c r="U287" s="114">
        <f t="shared" si="68"/>
        <v>72</v>
      </c>
      <c r="V287" s="114">
        <f t="shared" si="62"/>
        <v>0</v>
      </c>
    </row>
    <row r="288" spans="1:22" ht="60">
      <c r="A288" s="10" t="str">
        <f>Questions!$A288</f>
        <v>DRPV-09</v>
      </c>
      <c r="B288" s="10" t="str">
        <f t="shared" si="63"/>
        <v>DRPV</v>
      </c>
      <c r="C288" s="10" t="str">
        <f>VLOOKUP($A288,Questions!$A$3:$L$333,2,0)&amp;""</f>
        <v>Do you protect personal information against unauthorized access (both physical and logical)?</v>
      </c>
      <c r="D288" s="10" t="str">
        <f>VLOOKUP($A288,Questions!$A$3:$L$333,11,0)&amp;""</f>
        <v/>
      </c>
      <c r="E288" s="10" t="str">
        <f>VLOOKUP($A288,Questions!$A$3:$L$333,12,0)&amp;""</f>
        <v>Privacy</v>
      </c>
      <c r="F288" s="10" t="str">
        <f>VLOOKUP($A288,'Privacy Analyst Evaluation'!$A$46:$K$120,3,0)&amp;""</f>
        <v>yes</v>
      </c>
      <c r="G288" s="10" t="str">
        <f>VLOOKUP($A288,'Privacy Analyst Evaluation'!$A$46:$K$120,7,0)&amp;""</f>
        <v>Yes</v>
      </c>
      <c r="H288" s="10" t="str">
        <f>VLOOKUP($A288,'Privacy Analyst Evaluation'!$A$46:$K$120,8,0)&amp;""</f>
        <v/>
      </c>
      <c r="I288" s="10" t="str">
        <f>VLOOKUP($A288,'Privacy Analyst Evaluation'!$A$46:$K$120,9,0)&amp;""</f>
        <v>Standard Importance</v>
      </c>
      <c r="J288" s="10" t="str">
        <f>VLOOKUP($A288,'Privacy Analyst Evaluation'!$A$46:$K$120,10,0)&amp;""</f>
        <v/>
      </c>
      <c r="K288" s="10">
        <f t="shared" si="64"/>
        <v>10</v>
      </c>
      <c r="L288" s="114">
        <f>IF($E288="Not Scored", "N/A",IF(AND($D288='Auto Responses'!$J$27,$H288=""),"N/A",IF(AND($D288='Auto Responses'!$J$27,$H288='Auto Responses'!$J$7),1,IF(AND($D288='Auto Responses'!$J$27,$H288='Auto Responses'!$J$8),0,IF(OR($F288=$G288,$H288='Auto Responses'!$J$7),1,0)))))</f>
        <v>1</v>
      </c>
      <c r="M288" s="10" t="str">
        <f>VLOOKUP($A288,'Privacy Analyst Evaluation'!$A$46:$K$120,10,0)&amp;""</f>
        <v/>
      </c>
      <c r="N288" s="10">
        <f t="shared" si="65"/>
        <v>0</v>
      </c>
      <c r="O288" s="114">
        <f t="shared" si="69"/>
        <v>10</v>
      </c>
      <c r="P288" s="114">
        <f t="shared" si="66"/>
        <v>10</v>
      </c>
      <c r="Q288" s="114">
        <f t="shared" si="59"/>
        <v>0</v>
      </c>
      <c r="R288" s="114">
        <f t="shared" si="67"/>
        <v>0</v>
      </c>
      <c r="S288" s="114">
        <f t="shared" si="60"/>
        <v>0</v>
      </c>
      <c r="T288" s="114">
        <f t="shared" si="61"/>
        <v>0</v>
      </c>
      <c r="U288" s="114">
        <f t="shared" si="68"/>
        <v>72</v>
      </c>
      <c r="V288" s="114">
        <f t="shared" si="62"/>
        <v>0</v>
      </c>
    </row>
    <row r="289" spans="1:22" ht="60">
      <c r="A289" s="10" t="str">
        <f>Questions!$A289</f>
        <v>DRPV-10</v>
      </c>
      <c r="B289" s="10" t="str">
        <f t="shared" si="63"/>
        <v>DRPV</v>
      </c>
      <c r="C289" s="10" t="str">
        <f>VLOOKUP($A289,Questions!$A$3:$L$333,2,0)&amp;""</f>
        <v>Do you maintain accurate, complete, and relevant personal information for the purposes identified in the privacy notice?</v>
      </c>
      <c r="D289" s="10" t="str">
        <f>VLOOKUP($A289,Questions!$A$3:$L$333,11,0)&amp;""</f>
        <v/>
      </c>
      <c r="E289" s="10" t="str">
        <f>VLOOKUP($A289,Questions!$A$3:$L$333,12,0)&amp;""</f>
        <v>Privacy</v>
      </c>
      <c r="F289" s="10" t="str">
        <f>VLOOKUP($A289,'Privacy Analyst Evaluation'!$A$46:$K$120,3,0)&amp;""</f>
        <v>yes</v>
      </c>
      <c r="G289" s="10" t="str">
        <f>VLOOKUP($A289,'Privacy Analyst Evaluation'!$A$46:$K$120,7,0)&amp;""</f>
        <v>Yes</v>
      </c>
      <c r="H289" s="10" t="str">
        <f>VLOOKUP($A289,'Privacy Analyst Evaluation'!$A$46:$K$120,8,0)&amp;""</f>
        <v/>
      </c>
      <c r="I289" s="10" t="str">
        <f>VLOOKUP($A289,'Privacy Analyst Evaluation'!$A$46:$K$120,9,0)&amp;""</f>
        <v>Standard Importance</v>
      </c>
      <c r="J289" s="10" t="str">
        <f>VLOOKUP($A289,'Privacy Analyst Evaluation'!$A$46:$K$120,10,0)&amp;""</f>
        <v/>
      </c>
      <c r="K289" s="10">
        <f t="shared" si="64"/>
        <v>10</v>
      </c>
      <c r="L289" s="114">
        <f>IF($E289="Not Scored", "N/A",IF(AND($D289='Auto Responses'!$J$27,$H289=""),"N/A",IF(AND($D289='Auto Responses'!$J$27,$H289='Auto Responses'!$J$7),1,IF(AND($D289='Auto Responses'!$J$27,$H289='Auto Responses'!$J$8),0,IF(OR($F289=$G289,$H289='Auto Responses'!$J$7),1,0)))))</f>
        <v>1</v>
      </c>
      <c r="M289" s="10" t="str">
        <f>VLOOKUP($A289,'Privacy Analyst Evaluation'!$A$46:$K$120,10,0)&amp;""</f>
        <v/>
      </c>
      <c r="N289" s="10">
        <f t="shared" si="65"/>
        <v>0</v>
      </c>
      <c r="O289" s="114">
        <f t="shared" si="69"/>
        <v>10</v>
      </c>
      <c r="P289" s="114">
        <f t="shared" si="66"/>
        <v>10</v>
      </c>
      <c r="Q289" s="114">
        <f t="shared" si="59"/>
        <v>0</v>
      </c>
      <c r="R289" s="114">
        <f t="shared" si="67"/>
        <v>0</v>
      </c>
      <c r="S289" s="114">
        <f t="shared" si="60"/>
        <v>0</v>
      </c>
      <c r="T289" s="114">
        <f t="shared" si="61"/>
        <v>0</v>
      </c>
      <c r="U289" s="114">
        <f t="shared" si="68"/>
        <v>72</v>
      </c>
      <c r="V289" s="114">
        <f t="shared" si="62"/>
        <v>0</v>
      </c>
    </row>
    <row r="290" spans="1:22" ht="60">
      <c r="A290" s="10" t="str">
        <f>Questions!$A290</f>
        <v>DRPV-11</v>
      </c>
      <c r="B290" s="10" t="str">
        <f t="shared" si="63"/>
        <v>DRPV</v>
      </c>
      <c r="C290" s="10" t="str">
        <f>VLOOKUP($A290,Questions!$A$3:$L$333,2,0)&amp;""</f>
        <v>Do you have procedures to address privacy-related noncompliance complaints and disputes?</v>
      </c>
      <c r="D290" s="10" t="str">
        <f>VLOOKUP($A290,Questions!$A$3:$L$333,11,0)&amp;""</f>
        <v/>
      </c>
      <c r="E290" s="10" t="str">
        <f>VLOOKUP($A290,Questions!$A$3:$L$333,12,0)&amp;""</f>
        <v>Privacy</v>
      </c>
      <c r="F290" s="10" t="str">
        <f>VLOOKUP($A290,'Privacy Analyst Evaluation'!$A$46:$K$120,3,0)&amp;""</f>
        <v>no</v>
      </c>
      <c r="G290" s="10" t="str">
        <f>VLOOKUP($A290,'Privacy Analyst Evaluation'!$A$46:$K$120,7,0)&amp;""</f>
        <v>Yes</v>
      </c>
      <c r="H290" s="10" t="str">
        <f>VLOOKUP($A290,'Privacy Analyst Evaluation'!$A$46:$K$120,8,0)&amp;""</f>
        <v/>
      </c>
      <c r="I290" s="10" t="str">
        <f>VLOOKUP($A290,'Privacy Analyst Evaluation'!$A$46:$K$120,9,0)&amp;""</f>
        <v>Standard Importance</v>
      </c>
      <c r="J290" s="10" t="str">
        <f>VLOOKUP($A290,'Privacy Analyst Evaluation'!$A$46:$K$120,10,0)&amp;""</f>
        <v/>
      </c>
      <c r="K290" s="10">
        <f t="shared" si="64"/>
        <v>10</v>
      </c>
      <c r="L290" s="114">
        <f>IF($E290="Not Scored", "N/A",IF(AND($D290='Auto Responses'!$J$27,$H290=""),"N/A",IF(AND($D290='Auto Responses'!$J$27,$H290='Auto Responses'!$J$7),1,IF(AND($D290='Auto Responses'!$J$27,$H290='Auto Responses'!$J$8),0,IF(OR($F290=$G290,$H290='Auto Responses'!$J$7),1,0)))))</f>
        <v>0</v>
      </c>
      <c r="M290" s="10" t="str">
        <f>VLOOKUP($A290,'Privacy Analyst Evaluation'!$A$46:$K$120,10,0)&amp;""</f>
        <v/>
      </c>
      <c r="N290" s="10">
        <f t="shared" si="65"/>
        <v>0</v>
      </c>
      <c r="O290" s="114">
        <f t="shared" si="69"/>
        <v>10</v>
      </c>
      <c r="P290" s="114">
        <f t="shared" si="66"/>
        <v>0</v>
      </c>
      <c r="Q290" s="114">
        <f t="shared" si="59"/>
        <v>0</v>
      </c>
      <c r="R290" s="114">
        <f t="shared" si="67"/>
        <v>0</v>
      </c>
      <c r="S290" s="114">
        <f t="shared" si="60"/>
        <v>0</v>
      </c>
      <c r="T290" s="114">
        <f t="shared" si="61"/>
        <v>0</v>
      </c>
      <c r="U290" s="114">
        <f t="shared" si="68"/>
        <v>72</v>
      </c>
      <c r="V290" s="114">
        <f t="shared" si="62"/>
        <v>0</v>
      </c>
    </row>
    <row r="291" spans="1:22" ht="60">
      <c r="A291" s="10" t="str">
        <f>Questions!$A291</f>
        <v>DRPV-12</v>
      </c>
      <c r="B291" s="10" t="str">
        <f t="shared" si="63"/>
        <v>DRPV</v>
      </c>
      <c r="C291" s="10" t="str">
        <f>VLOOKUP($A291,Questions!$A$3:$L$333,2,0)&amp;""</f>
        <v>Do you "anonymize," "de-identify," or otherwise mask personal data?</v>
      </c>
      <c r="D291" s="10" t="str">
        <f>VLOOKUP($A291,Questions!$A$3:$L$333,11,0)&amp;""</f>
        <v/>
      </c>
      <c r="E291" s="10" t="str">
        <f>VLOOKUP($A291,Questions!$A$3:$L$333,12,0)&amp;""</f>
        <v>Privacy</v>
      </c>
      <c r="F291" s="10" t="str">
        <f>VLOOKUP($A291,'Privacy Analyst Evaluation'!$A$46:$K$120,3,0)&amp;""</f>
        <v>yes</v>
      </c>
      <c r="G291" s="10" t="str">
        <f>VLOOKUP($A291,'Privacy Analyst Evaluation'!$A$46:$K$120,7,0)&amp;""</f>
        <v>Yes</v>
      </c>
      <c r="H291" s="10" t="str">
        <f>VLOOKUP($A291,'Privacy Analyst Evaluation'!$A$46:$K$120,8,0)&amp;""</f>
        <v/>
      </c>
      <c r="I291" s="10" t="str">
        <f>VLOOKUP($A291,'Privacy Analyst Evaluation'!$A$46:$K$120,9,0)&amp;""</f>
        <v>Standard Importance</v>
      </c>
      <c r="J291" s="10" t="str">
        <f>VLOOKUP($A291,'Privacy Analyst Evaluation'!$A$46:$K$120,10,0)&amp;""</f>
        <v/>
      </c>
      <c r="K291" s="10">
        <f t="shared" si="64"/>
        <v>10</v>
      </c>
      <c r="L291" s="114">
        <f>IF($E291="Not Scored", "N/A",IF(AND($D291='Auto Responses'!$J$27,$H291=""),"N/A",IF(AND($D291='Auto Responses'!$J$27,$H291='Auto Responses'!$J$7),1,IF(AND($D291='Auto Responses'!$J$27,$H291='Auto Responses'!$J$8),0,IF(OR($F291=$G291,$H291='Auto Responses'!$J$7),1,0)))))</f>
        <v>1</v>
      </c>
      <c r="M291" s="10" t="str">
        <f>VLOOKUP($A291,'Privacy Analyst Evaluation'!$A$46:$K$120,10,0)&amp;""</f>
        <v/>
      </c>
      <c r="N291" s="10">
        <f t="shared" si="65"/>
        <v>0</v>
      </c>
      <c r="O291" s="114">
        <f t="shared" si="69"/>
        <v>10</v>
      </c>
      <c r="P291" s="114">
        <f t="shared" si="66"/>
        <v>10</v>
      </c>
      <c r="Q291" s="114">
        <f t="shared" si="59"/>
        <v>0</v>
      </c>
      <c r="R291" s="114">
        <f t="shared" si="67"/>
        <v>0</v>
      </c>
      <c r="S291" s="114">
        <f t="shared" si="60"/>
        <v>0</v>
      </c>
      <c r="T291" s="114">
        <f t="shared" si="61"/>
        <v>0</v>
      </c>
      <c r="U291" s="114">
        <f t="shared" si="68"/>
        <v>72</v>
      </c>
      <c r="V291" s="114">
        <f t="shared" si="62"/>
        <v>0</v>
      </c>
    </row>
    <row r="292" spans="1:22" ht="105">
      <c r="A292" s="10" t="str">
        <f>Questions!$A292</f>
        <v>DRPV-13</v>
      </c>
      <c r="B292" s="10" t="str">
        <f t="shared" si="63"/>
        <v>DRPV</v>
      </c>
      <c r="C292" s="10" t="str">
        <f>VLOOKUP($A292,Questions!$A$3:$L$333,2,0)&amp;""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D292" s="10" t="str">
        <f>VLOOKUP($A292,Questions!$A$3:$L$333,11,0)&amp;""</f>
        <v/>
      </c>
      <c r="E292" s="10" t="str">
        <f>VLOOKUP($A292,Questions!$A$3:$L$333,12,0)&amp;""</f>
        <v>Privacy</v>
      </c>
      <c r="F292" s="10" t="str">
        <f>VLOOKUP($A292,'Privacy Analyst Evaluation'!$A$46:$K$120,3,0)&amp;""</f>
        <v>no</v>
      </c>
      <c r="G292" s="10" t="str">
        <f>VLOOKUP($A292,'Privacy Analyst Evaluation'!$A$46:$K$120,7,0)&amp;""</f>
        <v>No</v>
      </c>
      <c r="H292" s="10" t="str">
        <f>VLOOKUP($A292,'Privacy Analyst Evaluation'!$A$46:$K$120,8,0)&amp;""</f>
        <v/>
      </c>
      <c r="I292" s="10" t="str">
        <f>VLOOKUP($A292,'Privacy Analyst Evaluation'!$A$46:$K$120,9,0)&amp;""</f>
        <v>Standard Importance</v>
      </c>
      <c r="J292" s="10" t="str">
        <f>VLOOKUP($A292,'Privacy Analyst Evaluation'!$A$46:$K$120,10,0)&amp;""</f>
        <v/>
      </c>
      <c r="K292" s="10">
        <f t="shared" si="64"/>
        <v>10</v>
      </c>
      <c r="L292" s="114">
        <f>IF($E292="Not Scored", "N/A",IF(AND($D292='Auto Responses'!$J$27,$H292=""),"N/A",IF(AND($D292='Auto Responses'!$J$27,$H292='Auto Responses'!$J$7),1,IF(AND($D292='Auto Responses'!$J$27,$H292='Auto Responses'!$J$8),0,IF(OR($F292=$G292,$H292='Auto Responses'!$J$7),1,0)))))</f>
        <v>1</v>
      </c>
      <c r="M292" s="10" t="str">
        <f>VLOOKUP($A292,'Privacy Analyst Evaluation'!$A$46:$K$120,10,0)&amp;""</f>
        <v/>
      </c>
      <c r="N292" s="10">
        <f t="shared" si="65"/>
        <v>0</v>
      </c>
      <c r="O292" s="114">
        <f t="shared" si="69"/>
        <v>10</v>
      </c>
      <c r="P292" s="114">
        <f t="shared" si="66"/>
        <v>10</v>
      </c>
      <c r="Q292" s="114">
        <f t="shared" si="59"/>
        <v>0</v>
      </c>
      <c r="R292" s="114">
        <f t="shared" si="67"/>
        <v>0</v>
      </c>
      <c r="S292" s="114">
        <f t="shared" si="60"/>
        <v>0</v>
      </c>
      <c r="T292" s="114">
        <f t="shared" si="61"/>
        <v>0</v>
      </c>
      <c r="U292" s="114">
        <f t="shared" si="68"/>
        <v>72</v>
      </c>
      <c r="V292" s="114">
        <f t="shared" si="62"/>
        <v>0</v>
      </c>
    </row>
    <row r="293" spans="1:22" ht="60">
      <c r="A293" s="10" t="str">
        <f>Questions!$A293</f>
        <v>DRPV-14</v>
      </c>
      <c r="B293" s="10" t="str">
        <f t="shared" si="63"/>
        <v>DRPV</v>
      </c>
      <c r="C293" s="10" t="str">
        <f>VLOOKUP($A293,Questions!$A$3:$L$333,2,0)&amp;""</f>
        <v>Do you certify stop-processing requests, including any data that is processed by a third party on your behalf?</v>
      </c>
      <c r="D293" s="10" t="str">
        <f>VLOOKUP($A293,Questions!$A$3:$L$333,11,0)&amp;""</f>
        <v/>
      </c>
      <c r="E293" s="10" t="str">
        <f>VLOOKUP($A293,Questions!$A$3:$L$333,12,0)&amp;""</f>
        <v>Privacy</v>
      </c>
      <c r="F293" s="10" t="str">
        <f>VLOOKUP($A293,'Privacy Analyst Evaluation'!$A$46:$K$120,3,0)&amp;""</f>
        <v>yes</v>
      </c>
      <c r="G293" s="10" t="str">
        <f>VLOOKUP($A293,'Privacy Analyst Evaluation'!$A$46:$K$120,7,0)&amp;""</f>
        <v>Yes</v>
      </c>
      <c r="H293" s="10" t="str">
        <f>VLOOKUP($A293,'Privacy Analyst Evaluation'!$A$46:$K$120,8,0)&amp;""</f>
        <v/>
      </c>
      <c r="I293" s="10" t="str">
        <f>VLOOKUP($A293,'Privacy Analyst Evaluation'!$A$46:$K$120,9,0)&amp;""</f>
        <v>Standard Importance</v>
      </c>
      <c r="J293" s="10" t="str">
        <f>VLOOKUP($A293,'Privacy Analyst Evaluation'!$A$46:$K$120,10,0)&amp;""</f>
        <v/>
      </c>
      <c r="K293" s="10">
        <f t="shared" si="64"/>
        <v>10</v>
      </c>
      <c r="L293" s="114">
        <f>IF($E293="Not Scored", "N/A",IF(AND($D293='Auto Responses'!$J$27,$H293=""),"N/A",IF(AND($D293='Auto Responses'!$J$27,$H293='Auto Responses'!$J$7),1,IF(AND($D293='Auto Responses'!$J$27,$H293='Auto Responses'!$J$8),0,IF(OR($F293=$G293,$H293='Auto Responses'!$J$7),1,0)))))</f>
        <v>1</v>
      </c>
      <c r="M293" s="10" t="str">
        <f>VLOOKUP($A293,'Privacy Analyst Evaluation'!$A$46:$K$120,10,0)&amp;""</f>
        <v/>
      </c>
      <c r="N293" s="10">
        <f t="shared" si="65"/>
        <v>0</v>
      </c>
      <c r="O293" s="114">
        <f t="shared" si="69"/>
        <v>10</v>
      </c>
      <c r="P293" s="114">
        <f t="shared" si="66"/>
        <v>10</v>
      </c>
      <c r="Q293" s="114">
        <f t="shared" si="59"/>
        <v>0</v>
      </c>
      <c r="R293" s="114">
        <f t="shared" si="67"/>
        <v>0</v>
      </c>
      <c r="S293" s="114">
        <f t="shared" si="60"/>
        <v>0</v>
      </c>
      <c r="T293" s="114">
        <f t="shared" si="61"/>
        <v>0</v>
      </c>
      <c r="U293" s="114">
        <f t="shared" si="68"/>
        <v>72</v>
      </c>
      <c r="V293" s="114">
        <f t="shared" si="62"/>
        <v>0</v>
      </c>
    </row>
    <row r="294" spans="1:22" ht="60">
      <c r="A294" s="10" t="str">
        <f>Questions!$A294</f>
        <v>DRPV-15</v>
      </c>
      <c r="B294" s="10" t="str">
        <f t="shared" si="63"/>
        <v>DRPV</v>
      </c>
      <c r="C294" s="10" t="str">
        <f>VLOOKUP($A294,Questions!$A$3:$L$333,2,0)&amp;""</f>
        <v>Do you have a process to review code for ethical considerations?</v>
      </c>
      <c r="D294" s="10" t="str">
        <f>VLOOKUP($A294,Questions!$A$3:$L$333,11,0)&amp;""</f>
        <v/>
      </c>
      <c r="E294" s="10" t="str">
        <f>VLOOKUP($A294,Questions!$A$3:$L$333,12,0)&amp;""</f>
        <v>Privacy</v>
      </c>
      <c r="F294" s="10" t="str">
        <f>VLOOKUP($A294,'Privacy Analyst Evaluation'!$A$46:$K$120,3,0)&amp;""</f>
        <v>yes</v>
      </c>
      <c r="G294" s="10" t="str">
        <f>VLOOKUP($A294,'Privacy Analyst Evaluation'!$A$46:$K$120,7,0)&amp;""</f>
        <v>Yes</v>
      </c>
      <c r="H294" s="10" t="str">
        <f>VLOOKUP($A294,'Privacy Analyst Evaluation'!$A$46:$K$120,8,0)&amp;""</f>
        <v/>
      </c>
      <c r="I294" s="10" t="str">
        <f>VLOOKUP($A294,'Privacy Analyst Evaluation'!$A$46:$K$120,9,0)&amp;""</f>
        <v>Standard Importance</v>
      </c>
      <c r="J294" s="10" t="str">
        <f>VLOOKUP($A294,'Privacy Analyst Evaluation'!$A$46:$K$120,10,0)&amp;""</f>
        <v/>
      </c>
      <c r="K294" s="10">
        <f t="shared" si="64"/>
        <v>10</v>
      </c>
      <c r="L294" s="114">
        <f>IF($E294="Not Scored", "N/A",IF(AND($D294='Auto Responses'!$J$27,$H294=""),"N/A",IF(AND($D294='Auto Responses'!$J$27,$H294='Auto Responses'!$J$7),1,IF(AND($D294='Auto Responses'!$J$27,$H294='Auto Responses'!$J$8),0,IF(OR($F294=$G294,$H294='Auto Responses'!$J$7),1,0)))))</f>
        <v>1</v>
      </c>
      <c r="M294" s="10" t="str">
        <f>VLOOKUP($A294,'Privacy Analyst Evaluation'!$A$46:$K$120,10,0)&amp;""</f>
        <v/>
      </c>
      <c r="N294" s="10">
        <f t="shared" si="65"/>
        <v>0</v>
      </c>
      <c r="O294" s="114">
        <f t="shared" si="58"/>
        <v>10</v>
      </c>
      <c r="P294" s="114">
        <f t="shared" si="66"/>
        <v>10</v>
      </c>
      <c r="Q294" s="114">
        <f t="shared" si="59"/>
        <v>0</v>
      </c>
      <c r="R294" s="114">
        <f t="shared" si="67"/>
        <v>0</v>
      </c>
      <c r="S294" s="114">
        <f t="shared" si="60"/>
        <v>0</v>
      </c>
      <c r="T294" s="114">
        <f t="shared" si="61"/>
        <v>0</v>
      </c>
      <c r="U294" s="114">
        <f t="shared" si="68"/>
        <v>72</v>
      </c>
      <c r="V294" s="114">
        <f t="shared" si="62"/>
        <v>0</v>
      </c>
    </row>
    <row r="295" spans="1:22" ht="60">
      <c r="A295" s="10" t="str">
        <f>Questions!$A295</f>
        <v>DPAI-01</v>
      </c>
      <c r="B295" s="10" t="str">
        <f t="shared" si="63"/>
        <v>DPAI</v>
      </c>
      <c r="C295" s="10" t="str">
        <f>VLOOKUP($A295,Questions!$A$3:$L$333,2,0)&amp;""</f>
        <v>Does your service use AI for the processing of institutional data?</v>
      </c>
      <c r="D295" s="10" t="str">
        <f>VLOOKUP($A295,Questions!$A$3:$L$333,11,0)&amp;""</f>
        <v/>
      </c>
      <c r="E295" s="10" t="str">
        <f>VLOOKUP($A295,Questions!$A$3:$L$333,12,0)&amp;""</f>
        <v>Privacy</v>
      </c>
      <c r="F295" s="10" t="str">
        <f>VLOOKUP($A295,'Privacy Analyst Evaluation'!$A$46:$K$120,3,0)&amp;""</f>
        <v/>
      </c>
      <c r="G295" s="10" t="str">
        <f>VLOOKUP($A295,'Privacy Analyst Evaluation'!$A$46:$K$120,7,0)&amp;""</f>
        <v>No</v>
      </c>
      <c r="H295" s="10" t="str">
        <f>VLOOKUP($A295,'Privacy Analyst Evaluation'!$A$46:$K$120,8,0)&amp;""</f>
        <v/>
      </c>
      <c r="I295" s="10" t="str">
        <f>VLOOKUP($A295,'Privacy Analyst Evaluation'!$A$46:$K$120,9,0)&amp;""</f>
        <v>Standard Importance</v>
      </c>
      <c r="J295" s="10" t="str">
        <f>VLOOKUP($A295,'Privacy Analyst Evaluation'!$A$46:$K$120,10,0)&amp;""</f>
        <v/>
      </c>
      <c r="K295" s="10">
        <f t="shared" si="64"/>
        <v>10</v>
      </c>
      <c r="L295" s="114">
        <f>IF($E295="Not Scored", "N/A",IF(AND($D295='Auto Responses'!$J$27,$H295=""),"N/A",IF(AND($D295='Auto Responses'!$J$27,$H295='Auto Responses'!$J$7),1,IF(AND($D295='Auto Responses'!$J$27,$H295='Auto Responses'!$J$8),0,IF(OR($F295=$G295,$H295='Auto Responses'!$J$7),1,0)))))</f>
        <v>0</v>
      </c>
      <c r="M295" s="10" t="str">
        <f>VLOOKUP($A295,'Privacy Analyst Evaluation'!$A$46:$K$120,10,0)&amp;""</f>
        <v/>
      </c>
      <c r="N295" s="10">
        <f t="shared" si="65"/>
        <v>0</v>
      </c>
      <c r="O295" s="114">
        <f t="shared" si="58"/>
        <v>10</v>
      </c>
      <c r="P295" s="114">
        <f t="shared" si="66"/>
        <v>0</v>
      </c>
      <c r="Q295" s="114">
        <f t="shared" si="59"/>
        <v>0</v>
      </c>
      <c r="R295" s="114">
        <f t="shared" si="67"/>
        <v>0</v>
      </c>
      <c r="S295" s="114">
        <f t="shared" si="60"/>
        <v>0</v>
      </c>
      <c r="T295" s="114">
        <f t="shared" si="61"/>
        <v>0</v>
      </c>
      <c r="U295" s="114">
        <f t="shared" si="68"/>
        <v>72</v>
      </c>
      <c r="V295" s="114">
        <f t="shared" si="62"/>
        <v>0</v>
      </c>
    </row>
    <row r="296" spans="1:22" ht="60">
      <c r="A296" s="10" t="str">
        <f>Questions!$A296</f>
        <v>DPAI-02</v>
      </c>
      <c r="B296" s="10" t="str">
        <f t="shared" si="63"/>
        <v>DPAI</v>
      </c>
      <c r="C296" s="10" t="str">
        <f>VLOOKUP($A296,Questions!$A$3:$L$333,2,0)&amp;""</f>
        <v>Is any institutional data retained in AI processing?*</v>
      </c>
      <c r="D296" s="10" t="str">
        <f>VLOOKUP($A296,Questions!$A$3:$L$333,11,0)&amp;""</f>
        <v/>
      </c>
      <c r="E296" s="10" t="str">
        <f>VLOOKUP($A296,Questions!$A$3:$L$333,12,0)&amp;""</f>
        <v>Privacy</v>
      </c>
      <c r="F296" s="10" t="str">
        <f>VLOOKUP($A296,'Privacy Analyst Evaluation'!$A$46:$K$120,3,0)&amp;""</f>
        <v/>
      </c>
      <c r="G296" s="10" t="str">
        <f>VLOOKUP($A296,'Privacy Analyst Evaluation'!$A$46:$K$120,7,0)&amp;""</f>
        <v>No</v>
      </c>
      <c r="H296" s="10" t="str">
        <f>VLOOKUP($A296,'Privacy Analyst Evaluation'!$A$46:$K$120,8,0)&amp;""</f>
        <v/>
      </c>
      <c r="I296" s="10" t="str">
        <f>VLOOKUP($A296,'Privacy Analyst Evaluation'!$A$46:$K$120,9,0)&amp;""</f>
        <v>Critical Importance</v>
      </c>
      <c r="J296" s="10" t="str">
        <f>VLOOKUP($A296,'Privacy Analyst Evaluation'!$A$46:$K$120,10,0)&amp;""</f>
        <v/>
      </c>
      <c r="K296" s="10">
        <f t="shared" si="64"/>
        <v>20</v>
      </c>
      <c r="L296" s="114">
        <f>IF($E296="Not Scored", "N/A",IF(AND($D296='Auto Responses'!$J$27,$H296=""),"N/A",IF(AND($D296='Auto Responses'!$J$27,$H296='Auto Responses'!$J$7),1,IF(AND($D296='Auto Responses'!$J$27,$H296='Auto Responses'!$J$8),0,IF(OR($F296=$G296,$H296='Auto Responses'!$J$7),1,0)))))</f>
        <v>0</v>
      </c>
      <c r="M296" s="10" t="str">
        <f>VLOOKUP($A296,'Privacy Analyst Evaluation'!$A$46:$K$120,10,0)&amp;""</f>
        <v/>
      </c>
      <c r="N296" s="10">
        <f t="shared" si="65"/>
        <v>1</v>
      </c>
      <c r="O296" s="114">
        <f>IF(OR($E296="Not Scored",$F296="N/A",$F$24="No"),"N/A",IF($J296="",$K296,IF($J296="Minor Importance",5,IF($J296="Standard Importance",10,IF($J296="Critical Importance",20,0)))))</f>
        <v>20</v>
      </c>
      <c r="P296" s="114">
        <f t="shared" si="66"/>
        <v>0</v>
      </c>
      <c r="Q296" s="114">
        <f t="shared" si="59"/>
        <v>0</v>
      </c>
      <c r="R296" s="114">
        <f t="shared" si="67"/>
        <v>0</v>
      </c>
      <c r="S296" s="114">
        <f t="shared" si="60"/>
        <v>0</v>
      </c>
      <c r="T296" s="114">
        <f t="shared" si="61"/>
        <v>1</v>
      </c>
      <c r="U296" s="114">
        <f t="shared" si="68"/>
        <v>73</v>
      </c>
      <c r="V296" s="114">
        <f t="shared" si="62"/>
        <v>73</v>
      </c>
    </row>
    <row r="297" spans="1:22" ht="60">
      <c r="A297" s="10" t="str">
        <f>Questions!$A297</f>
        <v>DPAI-03</v>
      </c>
      <c r="B297" s="10" t="str">
        <f t="shared" si="63"/>
        <v>DPAI</v>
      </c>
      <c r="C297" s="10" t="str">
        <f>VLOOKUP($A297,Questions!$A$3:$L$333,2,0)&amp;""</f>
        <v>Do you have agreements in place with third parties or subprocessors regarding the protection of customer data and use of AI?*</v>
      </c>
      <c r="D297" s="10" t="str">
        <f>VLOOKUP($A297,Questions!$A$3:$L$333,11,0)&amp;""</f>
        <v/>
      </c>
      <c r="E297" s="10" t="str">
        <f>VLOOKUP($A297,Questions!$A$3:$L$333,12,0)&amp;""</f>
        <v>Privacy</v>
      </c>
      <c r="F297" s="10" t="str">
        <f>VLOOKUP($A297,'Privacy Analyst Evaluation'!$A$46:$K$120,3,0)&amp;""</f>
        <v/>
      </c>
      <c r="G297" s="10" t="str">
        <f>VLOOKUP($A297,'Privacy Analyst Evaluation'!$A$46:$K$120,7,0)&amp;""</f>
        <v>Yes</v>
      </c>
      <c r="H297" s="10" t="str">
        <f>VLOOKUP($A297,'Privacy Analyst Evaluation'!$A$46:$K$120,8,0)&amp;""</f>
        <v/>
      </c>
      <c r="I297" s="10" t="str">
        <f>VLOOKUP($A297,'Privacy Analyst Evaluation'!$A$46:$K$120,9,0)&amp;""</f>
        <v>Critical Importance</v>
      </c>
      <c r="J297" s="10" t="str">
        <f>VLOOKUP($A297,'Privacy Analyst Evaluation'!$A$46:$K$120,10,0)&amp;""</f>
        <v/>
      </c>
      <c r="K297" s="10">
        <f t="shared" si="64"/>
        <v>20</v>
      </c>
      <c r="L297" s="114">
        <f>IF($E297="Not Scored", "N/A",IF(AND($D297='Auto Responses'!$J$27,$H297=""),"N/A",IF(AND($D297='Auto Responses'!$J$27,$H297='Auto Responses'!$J$7),1,IF(AND($D297='Auto Responses'!$J$27,$H297='Auto Responses'!$J$8),0,IF(OR($F297=$G297,$H297='Auto Responses'!$J$7),1,0)))))</f>
        <v>0</v>
      </c>
      <c r="M297" s="10" t="str">
        <f>VLOOKUP($A297,'Privacy Analyst Evaluation'!$A$46:$K$120,10,0)&amp;""</f>
        <v/>
      </c>
      <c r="N297" s="10">
        <f t="shared" si="65"/>
        <v>1</v>
      </c>
      <c r="O297" s="114">
        <f>IF(OR($E297="Not Scored",$F297="N/A",$F$24="No"),"N/A",IF($J297="",$K297,IF($J297="Minor Importance",5,IF($J297="Standard Importance",10,IF($J297="Critical Importance",20,0)))))</f>
        <v>20</v>
      </c>
      <c r="P297" s="114">
        <f t="shared" si="66"/>
        <v>0</v>
      </c>
      <c r="Q297" s="114">
        <f t="shared" si="59"/>
        <v>0</v>
      </c>
      <c r="R297" s="114">
        <f t="shared" si="67"/>
        <v>0</v>
      </c>
      <c r="S297" s="114">
        <f t="shared" si="60"/>
        <v>0</v>
      </c>
      <c r="T297" s="114">
        <f t="shared" si="61"/>
        <v>1</v>
      </c>
      <c r="U297" s="114">
        <f t="shared" si="68"/>
        <v>74</v>
      </c>
      <c r="V297" s="114">
        <f t="shared" si="62"/>
        <v>74</v>
      </c>
    </row>
    <row r="298" spans="1:22" ht="60">
      <c r="A298" s="10" t="str">
        <f>Questions!$A298</f>
        <v>DPAI-04</v>
      </c>
      <c r="B298" s="10" t="str">
        <f t="shared" si="63"/>
        <v>DPAI</v>
      </c>
      <c r="C298" s="10" t="str">
        <f>VLOOKUP($A298,Questions!$A$3:$L$333,2,0)&amp;""</f>
        <v>Will institutional data be processed through a third party or subprocessor that also uses AI?</v>
      </c>
      <c r="D298" s="10" t="str">
        <f>VLOOKUP($A298,Questions!$A$3:$L$333,11,0)&amp;""</f>
        <v/>
      </c>
      <c r="E298" s="10" t="str">
        <f>VLOOKUP($A298,Questions!$A$3:$L$333,12,0)&amp;""</f>
        <v>Privacy</v>
      </c>
      <c r="F298" s="10" t="str">
        <f>VLOOKUP($A298,'Privacy Analyst Evaluation'!$A$46:$K$120,3,0)&amp;""</f>
        <v/>
      </c>
      <c r="G298" s="10" t="str">
        <f>VLOOKUP($A298,'Privacy Analyst Evaluation'!$A$46:$K$120,7,0)&amp;""</f>
        <v>No</v>
      </c>
      <c r="H298" s="10" t="str">
        <f>VLOOKUP($A298,'Privacy Analyst Evaluation'!$A$46:$K$120,8,0)&amp;""</f>
        <v/>
      </c>
      <c r="I298" s="10" t="str">
        <f>VLOOKUP($A298,'Privacy Analyst Evaluation'!$A$46:$K$120,9,0)&amp;""</f>
        <v>Standard Importance</v>
      </c>
      <c r="J298" s="10" t="str">
        <f>VLOOKUP($A298,'Privacy Analyst Evaluation'!$A$46:$K$120,10,0)&amp;""</f>
        <v/>
      </c>
      <c r="K298" s="10">
        <f t="shared" si="64"/>
        <v>10</v>
      </c>
      <c r="L298" s="114">
        <f>IF($E298="Not Scored", "N/A",IF(AND($D298='Auto Responses'!$J$27,$H298=""),"N/A",IF(AND($D298='Auto Responses'!$J$27,$H298='Auto Responses'!$J$7),1,IF(AND($D298='Auto Responses'!$J$27,$H298='Auto Responses'!$J$8),0,IF(OR($F298=$G298,$H298='Auto Responses'!$J$7),1,0)))))</f>
        <v>0</v>
      </c>
      <c r="M298" s="10" t="str">
        <f>VLOOKUP($A298,'Privacy Analyst Evaluation'!$A$46:$K$120,10,0)&amp;""</f>
        <v/>
      </c>
      <c r="N298" s="10">
        <f t="shared" si="65"/>
        <v>0</v>
      </c>
      <c r="O298" s="114">
        <f t="shared" si="58"/>
        <v>10</v>
      </c>
      <c r="P298" s="114">
        <f t="shared" si="66"/>
        <v>0</v>
      </c>
      <c r="Q298" s="114">
        <f t="shared" si="59"/>
        <v>0</v>
      </c>
      <c r="R298" s="114">
        <f t="shared" si="67"/>
        <v>0</v>
      </c>
      <c r="S298" s="114">
        <f t="shared" si="60"/>
        <v>0</v>
      </c>
      <c r="T298" s="114">
        <f t="shared" si="61"/>
        <v>0</v>
      </c>
      <c r="U298" s="114">
        <f t="shared" si="68"/>
        <v>74</v>
      </c>
      <c r="V298" s="114">
        <f t="shared" si="62"/>
        <v>0</v>
      </c>
    </row>
    <row r="299" spans="1:22" ht="60">
      <c r="A299" s="10" t="str">
        <f>Questions!$A299</f>
        <v>DPAI-05</v>
      </c>
      <c r="B299" s="10" t="str">
        <f t="shared" si="63"/>
        <v>DPAI</v>
      </c>
      <c r="C299" s="10" t="str">
        <f>VLOOKUP($A299,Questions!$A$3:$L$333,2,0)&amp;""</f>
        <v>Is AI processing limited to fully licensed commercial enterprise AI services?</v>
      </c>
      <c r="D299" s="10" t="str">
        <f>VLOOKUP($A299,Questions!$A$3:$L$333,11,0)&amp;""</f>
        <v/>
      </c>
      <c r="E299" s="10" t="str">
        <f>VLOOKUP($A299,Questions!$A$3:$L$333,12,0)&amp;""</f>
        <v>Privacy</v>
      </c>
      <c r="F299" s="10" t="str">
        <f>VLOOKUP($A299,'Privacy Analyst Evaluation'!$A$46:$K$120,3,0)&amp;""</f>
        <v/>
      </c>
      <c r="G299" s="10" t="str">
        <f>VLOOKUP($A299,'Privacy Analyst Evaluation'!$A$46:$K$120,7,0)&amp;""</f>
        <v>Yes</v>
      </c>
      <c r="H299" s="10" t="str">
        <f>VLOOKUP($A299,'Privacy Analyst Evaluation'!$A$46:$K$120,8,0)&amp;""</f>
        <v/>
      </c>
      <c r="I299" s="10" t="str">
        <f>VLOOKUP($A299,'Privacy Analyst Evaluation'!$A$46:$K$120,9,0)&amp;""</f>
        <v>Minor Importance</v>
      </c>
      <c r="J299" s="10" t="str">
        <f>VLOOKUP($A299,'Privacy Analyst Evaluation'!$A$46:$K$120,10,0)&amp;""</f>
        <v/>
      </c>
      <c r="K299" s="10">
        <f t="shared" si="64"/>
        <v>5</v>
      </c>
      <c r="L299" s="114">
        <f>IF($E299="Not Scored", "N/A",IF(AND($D299='Auto Responses'!$J$27,$H299=""),"N/A",IF(AND($D299='Auto Responses'!$J$27,$H299='Auto Responses'!$J$7),1,IF(AND($D299='Auto Responses'!$J$27,$H299='Auto Responses'!$J$8),0,IF(OR($F299=$G299,$H299='Auto Responses'!$J$7),1,0)))))</f>
        <v>0</v>
      </c>
      <c r="M299" s="10" t="str">
        <f>VLOOKUP($A299,'Privacy Analyst Evaluation'!$A$46:$K$120,10,0)&amp;""</f>
        <v/>
      </c>
      <c r="N299" s="10">
        <f t="shared" si="65"/>
        <v>0</v>
      </c>
      <c r="O299" s="114">
        <f>IF(OR($E299="Not Scored",$F299="N/A",$F$24="No"),"N/A",IF($J299="",$K299,IF($J299="Minor Importance",5,IF($J299="Standard Importance",10,IF($J299="Critical Importance",20,0)))))</f>
        <v>5</v>
      </c>
      <c r="P299" s="114">
        <f t="shared" si="66"/>
        <v>0</v>
      </c>
      <c r="Q299" s="114">
        <f t="shared" si="59"/>
        <v>0</v>
      </c>
      <c r="R299" s="114">
        <f t="shared" si="67"/>
        <v>0</v>
      </c>
      <c r="S299" s="114">
        <f t="shared" si="60"/>
        <v>0</v>
      </c>
      <c r="T299" s="114">
        <f t="shared" si="61"/>
        <v>0</v>
      </c>
      <c r="U299" s="114">
        <f t="shared" si="68"/>
        <v>74</v>
      </c>
      <c r="V299" s="114">
        <f t="shared" si="62"/>
        <v>0</v>
      </c>
    </row>
    <row r="300" spans="1:22" ht="60">
      <c r="A300" s="10" t="str">
        <f>Questions!$A300</f>
        <v>DPAI-06</v>
      </c>
      <c r="B300" s="10" t="str">
        <f t="shared" si="63"/>
        <v>DPAI</v>
      </c>
      <c r="C300" s="10" t="str">
        <f>VLOOKUP($A300,Questions!$A$3:$L$333,2,0)&amp;""</f>
        <v>Will institutional data be used or processed by any shared AI services?</v>
      </c>
      <c r="D300" s="10" t="str">
        <f>VLOOKUP($A300,Questions!$A$3:$L$333,11,0)&amp;""</f>
        <v/>
      </c>
      <c r="E300" s="10" t="str">
        <f>VLOOKUP($A300,Questions!$A$3:$L$333,12,0)&amp;""</f>
        <v>Privacy</v>
      </c>
      <c r="F300" s="10" t="str">
        <f>VLOOKUP($A300,'Privacy Analyst Evaluation'!$A$46:$K$120,3,0)&amp;""</f>
        <v/>
      </c>
      <c r="G300" s="10" t="str">
        <f>VLOOKUP($A300,'Privacy Analyst Evaluation'!$A$46:$K$120,7,0)&amp;""</f>
        <v>No</v>
      </c>
      <c r="H300" s="10" t="str">
        <f>VLOOKUP($A300,'Privacy Analyst Evaluation'!$A$46:$K$120,8,0)&amp;""</f>
        <v/>
      </c>
      <c r="I300" s="10" t="str">
        <f>VLOOKUP($A300,'Privacy Analyst Evaluation'!$A$46:$K$120,9,0)&amp;""</f>
        <v>Minor Importance</v>
      </c>
      <c r="J300" s="10" t="str">
        <f>VLOOKUP($A300,'Privacy Analyst Evaluation'!$A$46:$K$120,10,0)&amp;""</f>
        <v/>
      </c>
      <c r="K300" s="10">
        <f t="shared" si="64"/>
        <v>5</v>
      </c>
      <c r="L300" s="114">
        <f>IF($E300="Not Scored", "N/A",IF(AND($D300='Auto Responses'!$J$27,$H300=""),"N/A",IF(AND($D300='Auto Responses'!$J$27,$H300='Auto Responses'!$J$7),1,IF(AND($D300='Auto Responses'!$J$27,$H300='Auto Responses'!$J$8),0,IF(OR($F300=$G300,$H300='Auto Responses'!$J$7),1,0)))))</f>
        <v>0</v>
      </c>
      <c r="M300" s="10" t="str">
        <f>VLOOKUP($A300,'Privacy Analyst Evaluation'!$A$46:$K$120,10,0)&amp;""</f>
        <v/>
      </c>
      <c r="N300" s="10">
        <f t="shared" si="65"/>
        <v>0</v>
      </c>
      <c r="O300" s="114">
        <f t="shared" si="58"/>
        <v>5</v>
      </c>
      <c r="P300" s="114">
        <f t="shared" si="66"/>
        <v>0</v>
      </c>
      <c r="Q300" s="114">
        <f t="shared" si="59"/>
        <v>0</v>
      </c>
      <c r="R300" s="114">
        <f t="shared" si="67"/>
        <v>0</v>
      </c>
      <c r="S300" s="114">
        <f t="shared" si="60"/>
        <v>0</v>
      </c>
      <c r="T300" s="114">
        <f t="shared" si="61"/>
        <v>0</v>
      </c>
      <c r="U300" s="114">
        <f t="shared" si="68"/>
        <v>74</v>
      </c>
      <c r="V300" s="114">
        <f t="shared" si="62"/>
        <v>0</v>
      </c>
    </row>
    <row r="301" spans="1:22" ht="60">
      <c r="A301" s="10" t="str">
        <f>Questions!$A301</f>
        <v>DPAI-07</v>
      </c>
      <c r="B301" s="10" t="str">
        <f t="shared" si="63"/>
        <v>DPAI</v>
      </c>
      <c r="C301" s="10" t="str">
        <f>VLOOKUP($A301,Questions!$A$3:$L$333,2,0)&amp;""</f>
        <v>Do you have safeguards in place to protect institutional data and data privacy from unintended AI queries or processing?</v>
      </c>
      <c r="D301" s="10" t="str">
        <f>VLOOKUP($A301,Questions!$A$3:$L$333,11,0)&amp;""</f>
        <v/>
      </c>
      <c r="E301" s="10" t="str">
        <f>VLOOKUP($A301,Questions!$A$3:$L$333,12,0)&amp;""</f>
        <v>Privacy</v>
      </c>
      <c r="F301" s="10" t="str">
        <f>VLOOKUP($A301,'Privacy Analyst Evaluation'!$A$46:$K$120,3,0)&amp;""</f>
        <v/>
      </c>
      <c r="G301" s="10" t="str">
        <f>VLOOKUP($A301,'Privacy Analyst Evaluation'!$A$46:$K$120,7,0)&amp;""</f>
        <v>Yes</v>
      </c>
      <c r="H301" s="10" t="str">
        <f>VLOOKUP($A301,'Privacy Analyst Evaluation'!$A$46:$K$120,8,0)&amp;""</f>
        <v/>
      </c>
      <c r="I301" s="10" t="str">
        <f>VLOOKUP($A301,'Privacy Analyst Evaluation'!$A$46:$K$120,9,0)&amp;""</f>
        <v>Minor Importance</v>
      </c>
      <c r="J301" s="10" t="str">
        <f>VLOOKUP($A301,'Privacy Analyst Evaluation'!$A$46:$K$120,10,0)&amp;""</f>
        <v/>
      </c>
      <c r="K301" s="10">
        <f t="shared" si="64"/>
        <v>5</v>
      </c>
      <c r="L301" s="114">
        <f>IF($E301="Not Scored", "N/A",IF(AND($D301='Auto Responses'!$J$27,$H301=""),"N/A",IF(AND($D301='Auto Responses'!$J$27,$H301='Auto Responses'!$J$7),1,IF(AND($D301='Auto Responses'!$J$27,$H301='Auto Responses'!$J$8),0,IF(OR($F301=$G301,$H301='Auto Responses'!$J$7),1,0)))))</f>
        <v>0</v>
      </c>
      <c r="M301" s="10" t="str">
        <f>VLOOKUP($A301,'Privacy Analyst Evaluation'!$A$46:$K$120,10,0)&amp;""</f>
        <v/>
      </c>
      <c r="N301" s="10">
        <f t="shared" si="65"/>
        <v>0</v>
      </c>
      <c r="O301" s="114">
        <f t="shared" si="58"/>
        <v>5</v>
      </c>
      <c r="P301" s="114">
        <f t="shared" si="66"/>
        <v>0</v>
      </c>
      <c r="Q301" s="114">
        <f t="shared" si="59"/>
        <v>0</v>
      </c>
      <c r="R301" s="114">
        <f t="shared" si="67"/>
        <v>0</v>
      </c>
      <c r="S301" s="114">
        <f t="shared" si="60"/>
        <v>0</v>
      </c>
      <c r="T301" s="114">
        <f t="shared" si="61"/>
        <v>0</v>
      </c>
      <c r="U301" s="114">
        <f t="shared" si="68"/>
        <v>74</v>
      </c>
      <c r="V301" s="114">
        <f t="shared" si="62"/>
        <v>0</v>
      </c>
    </row>
    <row r="302" spans="1:22" ht="60">
      <c r="A302" s="10" t="str">
        <f>Questions!$A302</f>
        <v>DPAI-08</v>
      </c>
      <c r="B302" s="10" t="str">
        <f t="shared" si="63"/>
        <v>DPAI</v>
      </c>
      <c r="C302" s="10" t="str">
        <f>VLOOKUP($A302,Questions!$A$3:$L$333,2,0)&amp;""</f>
        <v>Do you provide choice to the user to opt out of AI use?</v>
      </c>
      <c r="D302" s="10" t="str">
        <f>VLOOKUP($A302,Questions!$A$3:$L$333,11,0)&amp;""</f>
        <v/>
      </c>
      <c r="E302" s="10" t="str">
        <f>VLOOKUP($A302,Questions!$A$3:$L$333,12,0)&amp;""</f>
        <v>Privacy</v>
      </c>
      <c r="F302" s="10" t="str">
        <f>VLOOKUP($A302,'Privacy Analyst Evaluation'!$A$46:$K$120,3,0)&amp;""</f>
        <v/>
      </c>
      <c r="G302" s="10" t="str">
        <f>VLOOKUP($A302,'Privacy Analyst Evaluation'!$A$46:$K$120,7,0)&amp;""</f>
        <v>Yes</v>
      </c>
      <c r="H302" s="10" t="str">
        <f>VLOOKUP($A302,'Privacy Analyst Evaluation'!$A$46:$K$120,8,0)&amp;""</f>
        <v/>
      </c>
      <c r="I302" s="10" t="str">
        <f>VLOOKUP($A302,'Privacy Analyst Evaluation'!$A$46:$K$120,9,0)&amp;""</f>
        <v>Minor Importance</v>
      </c>
      <c r="J302" s="10" t="str">
        <f>VLOOKUP($A302,'Privacy Analyst Evaluation'!$A$46:$K$120,10,0)&amp;""</f>
        <v/>
      </c>
      <c r="K302" s="10">
        <f t="shared" si="64"/>
        <v>5</v>
      </c>
      <c r="L302" s="114">
        <f>IF($E302="Not Scored", "N/A",IF(AND($D302='Auto Responses'!$J$27,$H302=""),"N/A",IF(AND($D302='Auto Responses'!$J$27,$H302='Auto Responses'!$J$7),1,IF(AND($D302='Auto Responses'!$J$27,$H302='Auto Responses'!$J$8),0,IF(OR($F302=$G302,$H302='Auto Responses'!$J$7),1,0)))))</f>
        <v>0</v>
      </c>
      <c r="M302" s="10" t="str">
        <f>VLOOKUP($A302,'Privacy Analyst Evaluation'!$A$46:$K$120,10,0)&amp;""</f>
        <v/>
      </c>
      <c r="N302" s="10">
        <f t="shared" si="65"/>
        <v>0</v>
      </c>
      <c r="O302" s="114">
        <f>IF(OR($E302="Not Scored",$F302="N/A",$F$24="No"),"N/A",IF($J302="",$K302,IF($J302="Minor Importance",5,IF($J302="Standard Importance",10,IF($J302="Critical Importance",20,0)))))</f>
        <v>5</v>
      </c>
      <c r="P302" s="114">
        <f t="shared" si="66"/>
        <v>0</v>
      </c>
      <c r="Q302" s="114">
        <f t="shared" si="59"/>
        <v>0</v>
      </c>
      <c r="R302" s="114">
        <f t="shared" si="67"/>
        <v>0</v>
      </c>
      <c r="S302" s="114">
        <f t="shared" si="60"/>
        <v>0</v>
      </c>
      <c r="T302" s="114">
        <f t="shared" si="61"/>
        <v>0</v>
      </c>
      <c r="U302" s="114">
        <f t="shared" si="68"/>
        <v>74</v>
      </c>
      <c r="V302" s="114">
        <f t="shared" si="62"/>
        <v>0</v>
      </c>
    </row>
    <row r="303" spans="1:22" ht="60">
      <c r="A303" s="10" t="str">
        <f>Questions!$A303</f>
        <v>AIQU-01</v>
      </c>
      <c r="B303" s="10" t="str">
        <f t="shared" si="63"/>
        <v>AIQU</v>
      </c>
      <c r="C303" s="10" t="str">
        <f>VLOOKUP($A303,Questions!$A$3:$L$333,2,0)&amp;""</f>
        <v>Does your solution leverage machine learning (ML) or do you plan to do so in the next 12 months?</v>
      </c>
      <c r="D303" s="10" t="str">
        <f>VLOOKUP($A303,Questions!$A$3:$L$333,11,0)&amp;""</f>
        <v>NA</v>
      </c>
      <c r="E303" s="10" t="str">
        <f>VLOOKUP($A303,Questions!$A$3:$L$333,12,0)&amp;""</f>
        <v>Not scored</v>
      </c>
      <c r="F303" s="10" t="str">
        <f>VLOOKUP($A303,'Institution Evaluation'!$A$56:$K$346,3,0)&amp;""</f>
        <v/>
      </c>
      <c r="G303" s="10" t="str">
        <f>VLOOKUP($A303,'Institution Evaluation'!$A$56:$K$346,7,0)&amp;""</f>
        <v>Not scored</v>
      </c>
      <c r="H303" s="10" t="str">
        <f>VLOOKUP($A303,'Institution Evaluation'!$A$56:$K$346,8,0)&amp;""</f>
        <v/>
      </c>
      <c r="I303" s="10" t="str">
        <f>VLOOKUP($A303,'Institution Evaluation'!$A$56:$K$346,9,0)&amp;""</f>
        <v/>
      </c>
      <c r="J303" s="10" t="str">
        <f>VLOOKUP($A303,'Institution Evaluation'!$A$56:$K$346,10,0)&amp;""</f>
        <v/>
      </c>
      <c r="K303" s="10">
        <f t="shared" si="64"/>
        <v>10</v>
      </c>
      <c r="L303" s="114" t="str">
        <f>IF($E303="Not Scored", "N/A",IF(AND($D303='Auto Responses'!$J$27,$H303=""),"N/A",IF(AND($D303='Auto Responses'!$J$27,$H303='Auto Responses'!$J$7),1,IF(AND($D303='Auto Responses'!$J$27,$H303='Auto Responses'!$J$8),0,IF(OR($F303=$G303,$H303='Auto Responses'!$J$7),1,0)))))</f>
        <v>N/A</v>
      </c>
      <c r="M303" s="10" t="str">
        <f>VLOOKUP($A303,'Institution Evaluation'!$A$56:$K$346,10,0)&amp;""</f>
        <v/>
      </c>
      <c r="N303" s="10">
        <f t="shared" si="65"/>
        <v>0</v>
      </c>
      <c r="O303" s="114" t="str">
        <f t="shared" ref="O303:O319" si="70">IF(OR($F$20="No",$E303="Not Scored"),"N/A",IF($J303="",$K303,IF($J303="Minor Importance",5,IF($J303="Standard Importance",10,IF($J303="Critical Importance",20,0)))))</f>
        <v>N/A</v>
      </c>
      <c r="P303" s="114" t="str">
        <f t="shared" si="66"/>
        <v>N/A</v>
      </c>
      <c r="Q303" s="114">
        <f t="shared" si="59"/>
        <v>0</v>
      </c>
      <c r="R303" s="114">
        <f t="shared" si="67"/>
        <v>0</v>
      </c>
      <c r="S303" s="114">
        <f t="shared" si="60"/>
        <v>0</v>
      </c>
      <c r="T303" s="114">
        <f t="shared" si="61"/>
        <v>0</v>
      </c>
      <c r="U303" s="114">
        <f t="shared" si="68"/>
        <v>74</v>
      </c>
      <c r="V303" s="114">
        <f t="shared" si="62"/>
        <v>0</v>
      </c>
    </row>
    <row r="304" spans="1:22" ht="60">
      <c r="A304" s="10" t="str">
        <f>Questions!$A304</f>
        <v>AIQU-02</v>
      </c>
      <c r="B304" s="10" t="str">
        <f t="shared" si="63"/>
        <v>AIQU</v>
      </c>
      <c r="C304" s="10" t="str">
        <f>VLOOKUP($A304,Questions!$A$3:$L$333,2,0)&amp;""</f>
        <v>Does your solution leverage a large language model (LLM) or do you plan to do so in the next 12 months?</v>
      </c>
      <c r="D304" s="10" t="str">
        <f>VLOOKUP($A304,Questions!$A$3:$L$333,11,0)&amp;""</f>
        <v>NA</v>
      </c>
      <c r="E304" s="10" t="str">
        <f>VLOOKUP($A304,Questions!$A$3:$L$333,12,0)&amp;""</f>
        <v>Not scored</v>
      </c>
      <c r="F304" s="10" t="str">
        <f>VLOOKUP($A304,'Institution Evaluation'!$A$56:$K$346,3,0)&amp;""</f>
        <v/>
      </c>
      <c r="G304" s="10" t="str">
        <f>VLOOKUP($A304,'Institution Evaluation'!$A$56:$K$346,7,0)&amp;""</f>
        <v>Not scored</v>
      </c>
      <c r="H304" s="10" t="str">
        <f>VLOOKUP($A304,'Institution Evaluation'!$A$56:$K$346,8,0)&amp;""</f>
        <v/>
      </c>
      <c r="I304" s="10" t="str">
        <f>VLOOKUP($A304,'Institution Evaluation'!$A$56:$K$346,9,0)&amp;""</f>
        <v/>
      </c>
      <c r="J304" s="10" t="str">
        <f>VLOOKUP($A304,'Institution Evaluation'!$A$56:$K$346,10,0)&amp;""</f>
        <v/>
      </c>
      <c r="K304" s="10">
        <f t="shared" si="64"/>
        <v>10</v>
      </c>
      <c r="L304" s="114" t="str">
        <f>IF($E304="Not Scored", "N/A",IF(AND($D304='Auto Responses'!$J$27,$H304=""),"N/A",IF(AND($D304='Auto Responses'!$J$27,$H304='Auto Responses'!$J$7),1,IF(AND($D304='Auto Responses'!$J$27,$H304='Auto Responses'!$J$8),0,IF(OR($F304=$G304,$H304='Auto Responses'!$J$7),1,0)))))</f>
        <v>N/A</v>
      </c>
      <c r="M304" s="10" t="str">
        <f>VLOOKUP($A304,'Institution Evaluation'!$A$56:$K$346,10,0)&amp;""</f>
        <v/>
      </c>
      <c r="N304" s="10">
        <f t="shared" si="65"/>
        <v>0</v>
      </c>
      <c r="O304" s="114" t="str">
        <f t="shared" si="70"/>
        <v>N/A</v>
      </c>
      <c r="P304" s="114" t="str">
        <f t="shared" si="66"/>
        <v>N/A</v>
      </c>
      <c r="Q304" s="114">
        <f t="shared" si="59"/>
        <v>0</v>
      </c>
      <c r="R304" s="114">
        <f t="shared" si="67"/>
        <v>0</v>
      </c>
      <c r="S304" s="114">
        <f t="shared" si="60"/>
        <v>0</v>
      </c>
      <c r="T304" s="114">
        <f t="shared" si="61"/>
        <v>0</v>
      </c>
      <c r="U304" s="114">
        <f t="shared" si="68"/>
        <v>74</v>
      </c>
      <c r="V304" s="114">
        <f t="shared" si="62"/>
        <v>0</v>
      </c>
    </row>
    <row r="305" spans="1:22" ht="60">
      <c r="A305" s="10" t="str">
        <f>Questions!$A305</f>
        <v>AIGN-01</v>
      </c>
      <c r="B305" s="10" t="str">
        <f t="shared" si="63"/>
        <v>AIGN</v>
      </c>
      <c r="C305" s="10" t="str">
        <f>VLOOKUP($A305,Questions!$A$3:$L$333,2,0)&amp;""</f>
        <v>Does your solution have an AI risk model when developing or implementing your solution's AI model?*</v>
      </c>
      <c r="D305" s="10" t="str">
        <f>VLOOKUP($A305,Questions!$A$3:$L$333,11,0)&amp;""</f>
        <v/>
      </c>
      <c r="E305" s="10" t="str">
        <f>VLOOKUP($A305,Questions!$A$3:$L$333,12,0)&amp;""</f>
        <v>AI</v>
      </c>
      <c r="F305" s="10" t="str">
        <f>VLOOKUP($A305,'Institution Evaluation'!$A$56:$K$346,3,0)&amp;""</f>
        <v/>
      </c>
      <c r="G305" s="10" t="str">
        <f>VLOOKUP($A305,'Institution Evaluation'!$A$56:$K$346,7,0)&amp;""</f>
        <v>Yes</v>
      </c>
      <c r="H305" s="10" t="str">
        <f>VLOOKUP($A305,'Institution Evaluation'!$A$56:$K$346,8,0)&amp;""</f>
        <v/>
      </c>
      <c r="I305" s="10" t="str">
        <f>VLOOKUP($A305,'Institution Evaluation'!$A$56:$K$346,9,0)&amp;""</f>
        <v>Critical Importance</v>
      </c>
      <c r="J305" s="10" t="str">
        <f>VLOOKUP($A305,'Institution Evaluation'!$A$56:$K$346,10,0)&amp;""</f>
        <v/>
      </c>
      <c r="K305" s="10">
        <f t="shared" si="64"/>
        <v>20</v>
      </c>
      <c r="L305" s="114">
        <f>IF($E305="Not Scored", "N/A",IF(AND($D305='Auto Responses'!$J$27,$H305=""),"N/A",IF(AND($D305='Auto Responses'!$J$27,$H305='Auto Responses'!$J$7),1,IF(AND($D305='Auto Responses'!$J$27,$H305='Auto Responses'!$J$8),0,IF(OR($F305=$G305,$H305='Auto Responses'!$J$7),1,0)))))</f>
        <v>0</v>
      </c>
      <c r="M305" s="10" t="str">
        <f>VLOOKUP($A305,'Institution Evaluation'!$A$56:$K$346,10,0)&amp;""</f>
        <v/>
      </c>
      <c r="N305" s="10">
        <f t="shared" si="65"/>
        <v>1</v>
      </c>
      <c r="O305" s="114" t="str">
        <f t="shared" si="70"/>
        <v>N/A</v>
      </c>
      <c r="P305" s="114" t="str">
        <f t="shared" si="66"/>
        <v>N/A</v>
      </c>
      <c r="Q305" s="114">
        <f t="shared" si="59"/>
        <v>0</v>
      </c>
      <c r="R305" s="114">
        <f t="shared" si="67"/>
        <v>0</v>
      </c>
      <c r="S305" s="114">
        <f t="shared" si="60"/>
        <v>0</v>
      </c>
      <c r="T305" s="114">
        <f t="shared" si="61"/>
        <v>1</v>
      </c>
      <c r="U305" s="114">
        <f t="shared" si="68"/>
        <v>75</v>
      </c>
      <c r="V305" s="114">
        <f t="shared" si="62"/>
        <v>75</v>
      </c>
    </row>
    <row r="306" spans="1:22" ht="60">
      <c r="A306" s="10" t="str">
        <f>Questions!$A306</f>
        <v>AIGN-02</v>
      </c>
      <c r="B306" s="10" t="str">
        <f t="shared" si="63"/>
        <v>AIGN</v>
      </c>
      <c r="C306" s="10" t="str">
        <f>VLOOKUP($A306,Questions!$A$3:$L$333,2,0)&amp;""</f>
        <v>Can your solution's AI features be disabled by tenant and/or user?*</v>
      </c>
      <c r="D306" s="10" t="str">
        <f>VLOOKUP($A306,Questions!$A$3:$L$333,11,0)&amp;""</f>
        <v/>
      </c>
      <c r="E306" s="10" t="str">
        <f>VLOOKUP($A306,Questions!$A$3:$L$333,12,0)&amp;""</f>
        <v>AI</v>
      </c>
      <c r="F306" s="10" t="str">
        <f>VLOOKUP($A306,'Institution Evaluation'!$A$56:$K$346,3,0)&amp;""</f>
        <v/>
      </c>
      <c r="G306" s="10" t="str">
        <f>VLOOKUP($A306,'Institution Evaluation'!$A$56:$K$346,7,0)&amp;""</f>
        <v>Yes</v>
      </c>
      <c r="H306" s="10" t="str">
        <f>VLOOKUP($A306,'Institution Evaluation'!$A$56:$K$346,8,0)&amp;""</f>
        <v/>
      </c>
      <c r="I306" s="10" t="str">
        <f>VLOOKUP($A306,'Institution Evaluation'!$A$56:$K$346,9,0)&amp;""</f>
        <v>Critical Importance</v>
      </c>
      <c r="J306" s="10" t="str">
        <f>VLOOKUP($A306,'Institution Evaluation'!$A$56:$K$346,10,0)&amp;""</f>
        <v/>
      </c>
      <c r="K306" s="10">
        <f t="shared" si="64"/>
        <v>20</v>
      </c>
      <c r="L306" s="114">
        <f>IF($E306="Not Scored", "N/A",IF(AND($D306='Auto Responses'!$J$27,$H306=""),"N/A",IF(AND($D306='Auto Responses'!$J$27,$H306='Auto Responses'!$J$7),1,IF(AND($D306='Auto Responses'!$J$27,$H306='Auto Responses'!$J$8),0,IF(OR($F306=$G306,$H306='Auto Responses'!$J$7),1,0)))))</f>
        <v>0</v>
      </c>
      <c r="M306" s="10" t="str">
        <f>VLOOKUP($A306,'Institution Evaluation'!$A$56:$K$346,10,0)&amp;""</f>
        <v/>
      </c>
      <c r="N306" s="10">
        <f t="shared" si="65"/>
        <v>1</v>
      </c>
      <c r="O306" s="114" t="str">
        <f t="shared" si="70"/>
        <v>N/A</v>
      </c>
      <c r="P306" s="114" t="str">
        <f t="shared" si="66"/>
        <v>N/A</v>
      </c>
      <c r="Q306" s="114">
        <f t="shared" si="59"/>
        <v>0</v>
      </c>
      <c r="R306" s="114">
        <f t="shared" si="67"/>
        <v>0</v>
      </c>
      <c r="S306" s="114">
        <f t="shared" si="60"/>
        <v>0</v>
      </c>
      <c r="T306" s="114">
        <f t="shared" si="61"/>
        <v>1</v>
      </c>
      <c r="U306" s="114">
        <f t="shared" si="68"/>
        <v>76</v>
      </c>
      <c r="V306" s="114">
        <f t="shared" si="62"/>
        <v>76</v>
      </c>
    </row>
    <row r="307" spans="1:22" ht="60">
      <c r="A307" s="10" t="str">
        <f>Questions!$A307</f>
        <v>AIGN-03</v>
      </c>
      <c r="B307" s="10" t="str">
        <f t="shared" si="63"/>
        <v>AIGN</v>
      </c>
      <c r="C307" s="10" t="str">
        <f>VLOOKUP($A307,Questions!$A$3:$L$333,2,0)&amp;""</f>
        <v>Have your staff completed responsible AI training?*</v>
      </c>
      <c r="D307" s="10" t="str">
        <f>VLOOKUP($A307,Questions!$A$3:$L$333,11,0)&amp;""</f>
        <v/>
      </c>
      <c r="E307" s="10" t="str">
        <f>VLOOKUP($A307,Questions!$A$3:$L$333,12,0)&amp;""</f>
        <v>AI</v>
      </c>
      <c r="F307" s="10" t="str">
        <f>VLOOKUP($A307,'Institution Evaluation'!$A$56:$K$346,3,0)&amp;""</f>
        <v/>
      </c>
      <c r="G307" s="10" t="str">
        <f>VLOOKUP($A307,'Institution Evaluation'!$A$56:$K$346,7,0)&amp;""</f>
        <v>Yes</v>
      </c>
      <c r="H307" s="10" t="str">
        <f>VLOOKUP($A307,'Institution Evaluation'!$A$56:$K$346,8,0)&amp;""</f>
        <v/>
      </c>
      <c r="I307" s="10" t="str">
        <f>VLOOKUP($A307,'Institution Evaluation'!$A$56:$K$346,9,0)&amp;""</f>
        <v>Critical Importance</v>
      </c>
      <c r="J307" s="10" t="str">
        <f>VLOOKUP($A307,'Institution Evaluation'!$A$56:$K$346,10,0)&amp;""</f>
        <v/>
      </c>
      <c r="K307" s="10">
        <f t="shared" si="64"/>
        <v>20</v>
      </c>
      <c r="L307" s="114">
        <f>IF($E307="Not Scored", "N/A",IF(AND($D307='Auto Responses'!$J$27,$H307=""),"N/A",IF(AND($D307='Auto Responses'!$J$27,$H307='Auto Responses'!$J$7),1,IF(AND($D307='Auto Responses'!$J$27,$H307='Auto Responses'!$J$8),0,IF(OR($F307=$G307,$H307='Auto Responses'!$J$7),1,0)))))</f>
        <v>0</v>
      </c>
      <c r="M307" s="10" t="str">
        <f>VLOOKUP($A307,'Institution Evaluation'!$A$56:$K$346,10,0)&amp;""</f>
        <v/>
      </c>
      <c r="N307" s="10">
        <f t="shared" si="65"/>
        <v>1</v>
      </c>
      <c r="O307" s="114" t="str">
        <f t="shared" si="70"/>
        <v>N/A</v>
      </c>
      <c r="P307" s="114" t="str">
        <f t="shared" si="66"/>
        <v>N/A</v>
      </c>
      <c r="Q307" s="114">
        <f t="shared" si="59"/>
        <v>0</v>
      </c>
      <c r="R307" s="114">
        <f t="shared" si="67"/>
        <v>0</v>
      </c>
      <c r="S307" s="114">
        <f t="shared" si="60"/>
        <v>0</v>
      </c>
      <c r="T307" s="114">
        <f t="shared" si="61"/>
        <v>1</v>
      </c>
      <c r="U307" s="114">
        <f t="shared" si="68"/>
        <v>77</v>
      </c>
      <c r="V307" s="114">
        <f t="shared" si="62"/>
        <v>77</v>
      </c>
    </row>
    <row r="308" spans="1:22" ht="60">
      <c r="A308" s="10" t="str">
        <f>Questions!$A308</f>
        <v>AIGN-04</v>
      </c>
      <c r="B308" s="10" t="str">
        <f t="shared" si="63"/>
        <v>AIGN</v>
      </c>
      <c r="C308" s="10" t="str">
        <f>VLOOKUP($A308,Questions!$A$3:$L$333,2,0)&amp;""</f>
        <v>Please describe the capabilities of your solution's AI features.</v>
      </c>
      <c r="D308" s="10" t="str">
        <f>VLOOKUP($A308,Questions!$A$3:$L$333,11,0)&amp;""</f>
        <v/>
      </c>
      <c r="E308" s="10" t="str">
        <f>VLOOKUP($A308,Questions!$A$3:$L$333,12,0)&amp;""</f>
        <v>Not scored</v>
      </c>
      <c r="F308" s="10" t="str">
        <f>VLOOKUP($A308,'Institution Evaluation'!$A$56:$K$346,3,0)&amp;""</f>
        <v/>
      </c>
      <c r="G308" s="10" t="str">
        <f>VLOOKUP($A308,'Institution Evaluation'!$A$56:$K$346,7,0)&amp;""</f>
        <v>Not scored</v>
      </c>
      <c r="H308" s="10" t="str">
        <f>VLOOKUP($A308,'Institution Evaluation'!$A$56:$K$346,8,0)&amp;""</f>
        <v/>
      </c>
      <c r="I308" s="10" t="str">
        <f>VLOOKUP($A308,'Institution Evaluation'!$A$56:$K$346,9,0)&amp;""</f>
        <v>Standard Importance</v>
      </c>
      <c r="J308" s="10" t="str">
        <f>VLOOKUP($A308,'Institution Evaluation'!$A$56:$K$346,10,0)&amp;""</f>
        <v/>
      </c>
      <c r="K308" s="10">
        <f t="shared" si="64"/>
        <v>10</v>
      </c>
      <c r="L308" s="114" t="str">
        <f>IF($E308="Not Scored", "N/A",IF(AND($D308='Auto Responses'!$J$27,$H308=""),"N/A",IF(AND($D308='Auto Responses'!$J$27,$H308='Auto Responses'!$J$7),1,IF(AND($D308='Auto Responses'!$J$27,$H308='Auto Responses'!$J$8),0,IF(OR($F308=$G308,$H308='Auto Responses'!$J$7),1,0)))))</f>
        <v>N/A</v>
      </c>
      <c r="M308" s="10" t="str">
        <f>VLOOKUP($A308,'Institution Evaluation'!$A$56:$K$346,10,0)&amp;""</f>
        <v/>
      </c>
      <c r="N308" s="10">
        <f t="shared" si="65"/>
        <v>0</v>
      </c>
      <c r="O308" s="114" t="str">
        <f t="shared" si="70"/>
        <v>N/A</v>
      </c>
      <c r="P308" s="114" t="str">
        <f t="shared" si="66"/>
        <v>N/A</v>
      </c>
      <c r="Q308" s="114">
        <f t="shared" si="59"/>
        <v>0</v>
      </c>
      <c r="R308" s="114">
        <f t="shared" si="67"/>
        <v>0</v>
      </c>
      <c r="S308" s="114">
        <f t="shared" si="60"/>
        <v>0</v>
      </c>
      <c r="T308" s="114">
        <f t="shared" si="61"/>
        <v>0</v>
      </c>
      <c r="U308" s="114">
        <f t="shared" si="68"/>
        <v>77</v>
      </c>
      <c r="V308" s="114">
        <f t="shared" si="62"/>
        <v>0</v>
      </c>
    </row>
    <row r="309" spans="1:22" ht="60">
      <c r="A309" s="10" t="str">
        <f>Questions!$A309</f>
        <v>AIGN-05</v>
      </c>
      <c r="B309" s="10" t="str">
        <f t="shared" si="63"/>
        <v>AIGN</v>
      </c>
      <c r="C309" s="10" t="str">
        <f>VLOOKUP($A309,Questions!$A$3:$L$333,2,0)&amp;""</f>
        <v>Does your solution support business rules to protect sensitive data from being ingested by the AI model?</v>
      </c>
      <c r="D309" s="10" t="str">
        <f>VLOOKUP($A309,Questions!$A$3:$L$333,11,0)&amp;""</f>
        <v/>
      </c>
      <c r="E309" s="10" t="str">
        <f>VLOOKUP($A309,Questions!$A$3:$L$333,12,0)&amp;""</f>
        <v>AI</v>
      </c>
      <c r="F309" s="10" t="str">
        <f>VLOOKUP($A309,'Institution Evaluation'!$A$56:$K$346,3,0)&amp;""</f>
        <v/>
      </c>
      <c r="G309" s="10" t="str">
        <f>VLOOKUP($A309,'Institution Evaluation'!$A$56:$K$346,7,0)&amp;""</f>
        <v>Yes</v>
      </c>
      <c r="H309" s="10" t="str">
        <f>VLOOKUP($A309,'Institution Evaluation'!$A$56:$K$346,8,0)&amp;""</f>
        <v/>
      </c>
      <c r="I309" s="10" t="str">
        <f>VLOOKUP($A309,'Institution Evaluation'!$A$56:$K$346,9,0)&amp;""</f>
        <v>Standard Importance</v>
      </c>
      <c r="J309" s="10" t="str">
        <f>VLOOKUP($A309,'Institution Evaluation'!$A$56:$K$346,10,0)&amp;""</f>
        <v/>
      </c>
      <c r="K309" s="10">
        <f t="shared" si="64"/>
        <v>10</v>
      </c>
      <c r="L309" s="114">
        <f>IF($E309="Not Scored", "N/A",IF(AND($D309='Auto Responses'!$J$27,$H309=""),"N/A",IF(AND($D309='Auto Responses'!$J$27,$H309='Auto Responses'!$J$7),1,IF(AND($D309='Auto Responses'!$J$27,$H309='Auto Responses'!$J$8),0,IF(OR($F309=$G309,$H309='Auto Responses'!$J$7),1,0)))))</f>
        <v>0</v>
      </c>
      <c r="M309" s="10" t="str">
        <f>VLOOKUP($A309,'Institution Evaluation'!$A$56:$K$346,10,0)&amp;""</f>
        <v/>
      </c>
      <c r="N309" s="10">
        <f t="shared" si="65"/>
        <v>0</v>
      </c>
      <c r="O309" s="114" t="str">
        <f t="shared" si="70"/>
        <v>N/A</v>
      </c>
      <c r="P309" s="114" t="str">
        <f t="shared" si="66"/>
        <v>N/A</v>
      </c>
      <c r="Q309" s="114">
        <f t="shared" si="59"/>
        <v>0</v>
      </c>
      <c r="R309" s="114">
        <f t="shared" si="67"/>
        <v>0</v>
      </c>
      <c r="S309" s="114">
        <f t="shared" si="60"/>
        <v>0</v>
      </c>
      <c r="T309" s="114">
        <f t="shared" si="61"/>
        <v>0</v>
      </c>
      <c r="U309" s="114">
        <f t="shared" si="68"/>
        <v>77</v>
      </c>
      <c r="V309" s="114">
        <f t="shared" si="62"/>
        <v>0</v>
      </c>
    </row>
    <row r="310" spans="1:22" ht="75">
      <c r="A310" s="10" t="str">
        <f>Questions!$A310</f>
        <v>AIPL-01</v>
      </c>
      <c r="B310" s="10" t="str">
        <f t="shared" si="63"/>
        <v>AIPL</v>
      </c>
      <c r="C310" s="10" t="str">
        <f>VLOOKUP($A310,Questions!$A$3:$L$333,2,0)&amp;""</f>
        <v>Are your AI developer's policies, processes, procedures, and practices across the organization related to the mapping, measuring, and managing of AI risks conspicuously posted, unambiguous, and implemented effectively?*</v>
      </c>
      <c r="D310" s="10" t="str">
        <f>VLOOKUP($A310,Questions!$A$3:$L$333,11,0)&amp;""</f>
        <v/>
      </c>
      <c r="E310" s="10" t="str">
        <f>VLOOKUP($A310,Questions!$A$3:$L$333,12,0)&amp;""</f>
        <v>AI</v>
      </c>
      <c r="F310" s="10" t="str">
        <f>VLOOKUP($A310,'Institution Evaluation'!$A$56:$K$346,3,0)&amp;""</f>
        <v/>
      </c>
      <c r="G310" s="10" t="str">
        <f>VLOOKUP($A310,'Institution Evaluation'!$A$56:$K$346,7,0)&amp;""</f>
        <v>Yes</v>
      </c>
      <c r="H310" s="10" t="str">
        <f>VLOOKUP($A310,'Institution Evaluation'!$A$56:$K$346,8,0)&amp;""</f>
        <v/>
      </c>
      <c r="I310" s="10" t="str">
        <f>VLOOKUP($A310,'Institution Evaluation'!$A$56:$K$346,9,0)&amp;""</f>
        <v>Critical Importance</v>
      </c>
      <c r="J310" s="10" t="str">
        <f>VLOOKUP($A310,'Institution Evaluation'!$A$56:$K$346,10,0)&amp;""</f>
        <v/>
      </c>
      <c r="K310" s="10">
        <f t="shared" si="64"/>
        <v>20</v>
      </c>
      <c r="L310" s="114">
        <f>IF($E310="Not Scored", "N/A",IF(AND($D310='Auto Responses'!$J$27,$H310=""),"N/A",IF(AND($D310='Auto Responses'!$J$27,$H310='Auto Responses'!$J$7),1,IF(AND($D310='Auto Responses'!$J$27,$H310='Auto Responses'!$J$8),0,IF(OR($F310=$G310,$H310='Auto Responses'!$J$7),1,0)))))</f>
        <v>0</v>
      </c>
      <c r="M310" s="10" t="str">
        <f>VLOOKUP($A310,'Institution Evaluation'!$A$56:$K$346,10,0)&amp;""</f>
        <v/>
      </c>
      <c r="N310" s="10">
        <f t="shared" si="65"/>
        <v>1</v>
      </c>
      <c r="O310" s="114" t="str">
        <f t="shared" si="70"/>
        <v>N/A</v>
      </c>
      <c r="P310" s="114" t="str">
        <f t="shared" si="66"/>
        <v>N/A</v>
      </c>
      <c r="Q310" s="114">
        <f t="shared" si="59"/>
        <v>0</v>
      </c>
      <c r="R310" s="114">
        <f t="shared" si="67"/>
        <v>0</v>
      </c>
      <c r="S310" s="114">
        <f t="shared" si="60"/>
        <v>0</v>
      </c>
      <c r="T310" s="114">
        <f t="shared" si="61"/>
        <v>1</v>
      </c>
      <c r="U310" s="114">
        <f t="shared" si="68"/>
        <v>78</v>
      </c>
      <c r="V310" s="114">
        <f t="shared" si="62"/>
        <v>78</v>
      </c>
    </row>
    <row r="311" spans="1:22" ht="60">
      <c r="A311" s="10" t="str">
        <f>Questions!$A311</f>
        <v>AIPL-02</v>
      </c>
      <c r="B311" s="10" t="str">
        <f t="shared" si="63"/>
        <v>AIPL</v>
      </c>
      <c r="C311" s="10" t="str">
        <f>VLOOKUP($A311,Questions!$A$3:$L$333,2,0)&amp;""</f>
        <v>Have you identified and measured AI risks?*</v>
      </c>
      <c r="D311" s="10" t="str">
        <f>VLOOKUP($A311,Questions!$A$3:$L$333,11,0)&amp;""</f>
        <v/>
      </c>
      <c r="E311" s="10" t="str">
        <f>VLOOKUP($A311,Questions!$A$3:$L$333,12,0)&amp;""</f>
        <v>AI</v>
      </c>
      <c r="F311" s="10" t="str">
        <f>VLOOKUP($A311,'Institution Evaluation'!$A$56:$K$346,3,0)&amp;""</f>
        <v/>
      </c>
      <c r="G311" s="10" t="str">
        <f>VLOOKUP($A311,'Institution Evaluation'!$A$56:$K$346,7,0)&amp;""</f>
        <v>Yes</v>
      </c>
      <c r="H311" s="10" t="str">
        <f>VLOOKUP($A311,'Institution Evaluation'!$A$56:$K$346,8,0)&amp;""</f>
        <v/>
      </c>
      <c r="I311" s="10" t="str">
        <f>VLOOKUP($A311,'Institution Evaluation'!$A$56:$K$346,9,0)&amp;""</f>
        <v>Critical Importance</v>
      </c>
      <c r="J311" s="10" t="str">
        <f>VLOOKUP($A311,'Institution Evaluation'!$A$56:$K$346,10,0)&amp;""</f>
        <v/>
      </c>
      <c r="K311" s="10">
        <f t="shared" si="64"/>
        <v>20</v>
      </c>
      <c r="L311" s="114">
        <f>IF($E311="Not Scored", "N/A",IF(AND($D311='Auto Responses'!$J$27,$H311=""),"N/A",IF(AND($D311='Auto Responses'!$J$27,$H311='Auto Responses'!$J$7),1,IF(AND($D311='Auto Responses'!$J$27,$H311='Auto Responses'!$J$8),0,IF(OR($F311=$G311,$H311='Auto Responses'!$J$7),1,0)))))</f>
        <v>0</v>
      </c>
      <c r="M311" s="10" t="str">
        <f>VLOOKUP($A311,'Institution Evaluation'!$A$56:$K$346,10,0)&amp;""</f>
        <v/>
      </c>
      <c r="N311" s="10">
        <f t="shared" si="65"/>
        <v>1</v>
      </c>
      <c r="O311" s="114" t="str">
        <f t="shared" si="70"/>
        <v>N/A</v>
      </c>
      <c r="P311" s="114" t="str">
        <f t="shared" si="66"/>
        <v>N/A</v>
      </c>
      <c r="Q311" s="114">
        <f t="shared" si="59"/>
        <v>0</v>
      </c>
      <c r="R311" s="114">
        <f t="shared" si="67"/>
        <v>0</v>
      </c>
      <c r="S311" s="114">
        <f t="shared" si="60"/>
        <v>0</v>
      </c>
      <c r="T311" s="114">
        <f t="shared" si="61"/>
        <v>1</v>
      </c>
      <c r="U311" s="114">
        <f t="shared" si="68"/>
        <v>79</v>
      </c>
      <c r="V311" s="114">
        <f t="shared" si="62"/>
        <v>79</v>
      </c>
    </row>
    <row r="312" spans="1:22" ht="60">
      <c r="A312" s="10" t="str">
        <f>Questions!$A312</f>
        <v>AIPL-03</v>
      </c>
      <c r="B312" s="10" t="str">
        <f t="shared" si="63"/>
        <v>AIPL</v>
      </c>
      <c r="C312" s="10" t="str">
        <f>VLOOKUP($A312,Questions!$A$3:$L$333,2,0)&amp;""</f>
        <v>In the event of an incident, can your solution's AI features be disabled in a timely manner?*</v>
      </c>
      <c r="D312" s="10" t="str">
        <f>VLOOKUP($A312,Questions!$A$3:$L$333,11,0)&amp;""</f>
        <v/>
      </c>
      <c r="E312" s="10" t="str">
        <f>VLOOKUP($A312,Questions!$A$3:$L$333,12,0)&amp;""</f>
        <v>AI</v>
      </c>
      <c r="F312" s="10" t="str">
        <f>VLOOKUP($A312,'Institution Evaluation'!$A$56:$K$346,3,0)&amp;""</f>
        <v/>
      </c>
      <c r="G312" s="10" t="str">
        <f>VLOOKUP($A312,'Institution Evaluation'!$A$56:$K$346,7,0)&amp;""</f>
        <v>Yes</v>
      </c>
      <c r="H312" s="10" t="str">
        <f>VLOOKUP($A312,'Institution Evaluation'!$A$56:$K$346,8,0)&amp;""</f>
        <v/>
      </c>
      <c r="I312" s="10" t="str">
        <f>VLOOKUP($A312,'Institution Evaluation'!$A$56:$K$346,9,0)&amp;""</f>
        <v>Critical Importance</v>
      </c>
      <c r="J312" s="10" t="str">
        <f>VLOOKUP($A312,'Institution Evaluation'!$A$56:$K$346,10,0)&amp;""</f>
        <v/>
      </c>
      <c r="K312" s="10">
        <f t="shared" si="64"/>
        <v>20</v>
      </c>
      <c r="L312" s="114">
        <f>IF($E312="Not Scored", "N/A",IF(AND($D312='Auto Responses'!$J$27,$H312=""),"N/A",IF(AND($D312='Auto Responses'!$J$27,$H312='Auto Responses'!$J$7),1,IF(AND($D312='Auto Responses'!$J$27,$H312='Auto Responses'!$J$8),0,IF(OR($F312=$G312,$H312='Auto Responses'!$J$7),1,0)))))</f>
        <v>0</v>
      </c>
      <c r="M312" s="10" t="str">
        <f>VLOOKUP($A312,'Institution Evaluation'!$A$56:$K$346,10,0)&amp;""</f>
        <v/>
      </c>
      <c r="N312" s="10">
        <f t="shared" si="65"/>
        <v>1</v>
      </c>
      <c r="O312" s="114" t="str">
        <f t="shared" si="70"/>
        <v>N/A</v>
      </c>
      <c r="P312" s="114" t="str">
        <f t="shared" si="66"/>
        <v>N/A</v>
      </c>
      <c r="Q312" s="114">
        <f t="shared" si="59"/>
        <v>0</v>
      </c>
      <c r="R312" s="114">
        <f t="shared" si="67"/>
        <v>0</v>
      </c>
      <c r="S312" s="114">
        <f t="shared" si="60"/>
        <v>0</v>
      </c>
      <c r="T312" s="114">
        <f t="shared" si="61"/>
        <v>1</v>
      </c>
      <c r="U312" s="114">
        <f t="shared" si="68"/>
        <v>80</v>
      </c>
      <c r="V312" s="114">
        <f t="shared" si="62"/>
        <v>80</v>
      </c>
    </row>
    <row r="313" spans="1:22" ht="60">
      <c r="A313" s="10" t="str">
        <f>Questions!$A313</f>
        <v>AIPL-04</v>
      </c>
      <c r="B313" s="10" t="str">
        <f t="shared" si="63"/>
        <v>AIPL</v>
      </c>
      <c r="C313" s="10" t="str">
        <f>VLOOKUP($A313,Questions!$A$3:$L$333,2,0)&amp;""</f>
        <v>If disabled because of an incident, can your solution's AI features be re-enabled in a timely manner?*</v>
      </c>
      <c r="D313" s="10" t="str">
        <f>VLOOKUP($A313,Questions!$A$3:$L$333,11,0)&amp;""</f>
        <v/>
      </c>
      <c r="E313" s="10" t="str">
        <f>VLOOKUP($A313,Questions!$A$3:$L$333,12,0)&amp;""</f>
        <v>AI</v>
      </c>
      <c r="F313" s="10" t="str">
        <f>VLOOKUP($A313,'Institution Evaluation'!$A$56:$K$346,3,0)&amp;""</f>
        <v/>
      </c>
      <c r="G313" s="10" t="str">
        <f>VLOOKUP($A313,'Institution Evaluation'!$A$56:$K$346,7,0)&amp;""</f>
        <v>Yes</v>
      </c>
      <c r="H313" s="10" t="str">
        <f>VLOOKUP($A313,'Institution Evaluation'!$A$56:$K$346,8,0)&amp;""</f>
        <v/>
      </c>
      <c r="I313" s="10" t="str">
        <f>VLOOKUP($A313,'Institution Evaluation'!$A$56:$K$346,9,0)&amp;""</f>
        <v>Critical Importance</v>
      </c>
      <c r="J313" s="10" t="str">
        <f>VLOOKUP($A313,'Institution Evaluation'!$A$56:$K$346,10,0)&amp;""</f>
        <v/>
      </c>
      <c r="K313" s="10">
        <f t="shared" si="64"/>
        <v>20</v>
      </c>
      <c r="L313" s="114">
        <f>IF($E313="Not Scored", "N/A",IF(AND($D313='Auto Responses'!$J$27,$H313=""),"N/A",IF(AND($D313='Auto Responses'!$J$27,$H313='Auto Responses'!$J$7),1,IF(AND($D313='Auto Responses'!$J$27,$H313='Auto Responses'!$J$8),0,IF(OR($F313=$G313,$H313='Auto Responses'!$J$7),1,0)))))</f>
        <v>0</v>
      </c>
      <c r="M313" s="10" t="str">
        <f>VLOOKUP($A313,'Institution Evaluation'!$A$56:$K$346,10,0)&amp;""</f>
        <v/>
      </c>
      <c r="N313" s="10">
        <f t="shared" si="65"/>
        <v>1</v>
      </c>
      <c r="O313" s="114" t="str">
        <f>IF(OR($F$20="No",$E313="Not Scored",$F313="N/A"),"N/A",IF($J313="",$K313,IF($J313="Minor Importance",5,IF($J313="Standard Importance",10,IF($J313="Critical Importance",20,0)))))</f>
        <v>N/A</v>
      </c>
      <c r="P313" s="114" t="str">
        <f t="shared" si="66"/>
        <v>N/A</v>
      </c>
      <c r="Q313" s="114">
        <f t="shared" si="59"/>
        <v>0</v>
      </c>
      <c r="R313" s="114">
        <f t="shared" si="67"/>
        <v>0</v>
      </c>
      <c r="S313" s="114">
        <f t="shared" si="60"/>
        <v>0</v>
      </c>
      <c r="T313" s="114">
        <f t="shared" si="61"/>
        <v>1</v>
      </c>
      <c r="U313" s="114">
        <f t="shared" si="68"/>
        <v>81</v>
      </c>
      <c r="V313" s="114">
        <f t="shared" si="62"/>
        <v>81</v>
      </c>
    </row>
    <row r="314" spans="1:22" ht="60">
      <c r="A314" s="10" t="str">
        <f>Questions!$A314</f>
        <v>AIPL-05</v>
      </c>
      <c r="B314" s="10" t="str">
        <f t="shared" si="63"/>
        <v>AIPL</v>
      </c>
      <c r="C314" s="10" t="str">
        <f>VLOOKUP($A314,Questions!$A$3:$L$333,2,0)&amp;""</f>
        <v>Do you have documented technical and procedural processes to address potential negative impacts of AI as described by the AI Risk Management Framework (RMF)?</v>
      </c>
      <c r="D314" s="10" t="str">
        <f>VLOOKUP($A314,Questions!$A$3:$L$333,11,0)&amp;""</f>
        <v/>
      </c>
      <c r="E314" s="10" t="str">
        <f>VLOOKUP($A314,Questions!$A$3:$L$333,12,0)&amp;""</f>
        <v>AI</v>
      </c>
      <c r="F314" s="10" t="str">
        <f>VLOOKUP($A314,'Institution Evaluation'!$A$56:$K$346,3,0)&amp;""</f>
        <v/>
      </c>
      <c r="G314" s="10" t="str">
        <f>VLOOKUP($A314,'Institution Evaluation'!$A$56:$K$346,7,0)&amp;""</f>
        <v>Yes</v>
      </c>
      <c r="H314" s="10" t="str">
        <f>VLOOKUP($A314,'Institution Evaluation'!$A$56:$K$346,8,0)&amp;""</f>
        <v/>
      </c>
      <c r="I314" s="10" t="str">
        <f>VLOOKUP($A314,'Institution Evaluation'!$A$56:$K$346,9,0)&amp;""</f>
        <v>Minor Importance</v>
      </c>
      <c r="J314" s="10" t="str">
        <f>VLOOKUP($A314,'Institution Evaluation'!$A$56:$K$346,10,0)&amp;""</f>
        <v/>
      </c>
      <c r="K314" s="10">
        <f t="shared" si="64"/>
        <v>5</v>
      </c>
      <c r="L314" s="114">
        <f>IF($E314="Not Scored", "N/A",IF(AND($D314='Auto Responses'!$J$27,$H314=""),"N/A",IF(AND($D314='Auto Responses'!$J$27,$H314='Auto Responses'!$J$7),1,IF(AND($D314='Auto Responses'!$J$27,$H314='Auto Responses'!$J$8),0,IF(OR($F314=$G314,$H314='Auto Responses'!$J$7),1,0)))))</f>
        <v>0</v>
      </c>
      <c r="M314" s="10" t="str">
        <f>VLOOKUP($A314,'Institution Evaluation'!$A$56:$K$346,10,0)&amp;""</f>
        <v/>
      </c>
      <c r="N314" s="10">
        <f t="shared" si="65"/>
        <v>0</v>
      </c>
      <c r="O314" s="114" t="str">
        <f t="shared" si="70"/>
        <v>N/A</v>
      </c>
      <c r="P314" s="114" t="str">
        <f t="shared" si="66"/>
        <v>N/A</v>
      </c>
      <c r="Q314" s="114">
        <f t="shared" si="59"/>
        <v>0</v>
      </c>
      <c r="R314" s="114">
        <f t="shared" si="67"/>
        <v>0</v>
      </c>
      <c r="S314" s="114">
        <f t="shared" si="60"/>
        <v>0</v>
      </c>
      <c r="T314" s="114">
        <f t="shared" si="61"/>
        <v>0</v>
      </c>
      <c r="U314" s="114">
        <f t="shared" si="68"/>
        <v>81</v>
      </c>
      <c r="V314" s="114">
        <f t="shared" si="62"/>
        <v>0</v>
      </c>
    </row>
    <row r="315" spans="1:22" ht="60">
      <c r="A315" s="10" t="str">
        <f>Questions!$A315</f>
        <v>AISC-01</v>
      </c>
      <c r="B315" s="10" t="str">
        <f t="shared" si="63"/>
        <v>AISC</v>
      </c>
      <c r="C315" s="10" t="str">
        <f>VLOOKUP($A315,Questions!$A$3:$L$333,2,0)&amp;""</f>
        <v>If sensitive data is introduced to your solution's AI model, can the data be removed from the AI model by request?*</v>
      </c>
      <c r="D315" s="10" t="str">
        <f>VLOOKUP($A315,Questions!$A$3:$L$333,11,0)&amp;""</f>
        <v/>
      </c>
      <c r="E315" s="10" t="str">
        <f>VLOOKUP($A315,Questions!$A$3:$L$333,12,0)&amp;""</f>
        <v>AI</v>
      </c>
      <c r="F315" s="10" t="str">
        <f>VLOOKUP($A315,'Institution Evaluation'!$A$56:$K$346,3,0)&amp;""</f>
        <v/>
      </c>
      <c r="G315" s="10" t="str">
        <f>VLOOKUP($A315,'Institution Evaluation'!$A$56:$K$346,7,0)&amp;""</f>
        <v>Yes</v>
      </c>
      <c r="H315" s="10" t="str">
        <f>VLOOKUP($A315,'Institution Evaluation'!$A$56:$K$346,8,0)&amp;""</f>
        <v/>
      </c>
      <c r="I315" s="10" t="str">
        <f>VLOOKUP($A315,'Institution Evaluation'!$A$56:$K$346,9,0)&amp;""</f>
        <v>Critical Importance</v>
      </c>
      <c r="J315" s="10" t="str">
        <f>VLOOKUP($A315,'Institution Evaluation'!$A$56:$K$346,10,0)&amp;""</f>
        <v/>
      </c>
      <c r="K315" s="10">
        <f t="shared" si="64"/>
        <v>20</v>
      </c>
      <c r="L315" s="114">
        <f>IF($E315="Not Scored", "N/A",IF(AND($D315='Auto Responses'!$J$27,$H315=""),"N/A",IF(AND($D315='Auto Responses'!$J$27,$H315='Auto Responses'!$J$7),1,IF(AND($D315='Auto Responses'!$J$27,$H315='Auto Responses'!$J$8),0,IF(OR($F315=$G315,$H315='Auto Responses'!$J$7),1,0)))))</f>
        <v>0</v>
      </c>
      <c r="M315" s="10" t="str">
        <f>VLOOKUP($A315,'Institution Evaluation'!$A$56:$K$346,10,0)&amp;""</f>
        <v/>
      </c>
      <c r="N315" s="10">
        <f t="shared" si="65"/>
        <v>1</v>
      </c>
      <c r="O315" s="114" t="str">
        <f t="shared" si="70"/>
        <v>N/A</v>
      </c>
      <c r="P315" s="114" t="str">
        <f t="shared" si="66"/>
        <v>N/A</v>
      </c>
      <c r="Q315" s="114">
        <f t="shared" si="59"/>
        <v>0</v>
      </c>
      <c r="R315" s="114">
        <f t="shared" si="67"/>
        <v>0</v>
      </c>
      <c r="S315" s="114">
        <f t="shared" si="60"/>
        <v>0</v>
      </c>
      <c r="T315" s="114">
        <f t="shared" si="61"/>
        <v>1</v>
      </c>
      <c r="U315" s="114">
        <f t="shared" si="68"/>
        <v>82</v>
      </c>
      <c r="V315" s="114">
        <f t="shared" si="62"/>
        <v>82</v>
      </c>
    </row>
    <row r="316" spans="1:22" ht="60">
      <c r="A316" s="10" t="str">
        <f>Questions!$A316</f>
        <v>AISC-02</v>
      </c>
      <c r="B316" s="10" t="str">
        <f t="shared" si="63"/>
        <v>AISC</v>
      </c>
      <c r="C316" s="10" t="str">
        <f>VLOOKUP($A316,Questions!$A$3:$L$333,2,0)&amp;""</f>
        <v>Is user input data used to influence your solution's AI model?*</v>
      </c>
      <c r="D316" s="10" t="str">
        <f>VLOOKUP($A316,Questions!$A$3:$L$333,11,0)&amp;""</f>
        <v/>
      </c>
      <c r="E316" s="10" t="str">
        <f>VLOOKUP($A316,Questions!$A$3:$L$333,12,0)&amp;""</f>
        <v>AI</v>
      </c>
      <c r="F316" s="10" t="str">
        <f>VLOOKUP($A316,'Institution Evaluation'!$A$56:$K$346,3,0)&amp;""</f>
        <v/>
      </c>
      <c r="G316" s="10" t="str">
        <f>VLOOKUP($A316,'Institution Evaluation'!$A$56:$K$346,7,0)&amp;""</f>
        <v>No</v>
      </c>
      <c r="H316" s="10" t="str">
        <f>VLOOKUP($A316,'Institution Evaluation'!$A$56:$K$346,8,0)&amp;""</f>
        <v/>
      </c>
      <c r="I316" s="10" t="str">
        <f>VLOOKUP($A316,'Institution Evaluation'!$A$56:$K$346,9,0)&amp;""</f>
        <v>Critical Importance</v>
      </c>
      <c r="J316" s="10" t="str">
        <f>VLOOKUP($A316,'Institution Evaluation'!$A$56:$K$346,10,0)&amp;""</f>
        <v/>
      </c>
      <c r="K316" s="10">
        <f t="shared" si="64"/>
        <v>20</v>
      </c>
      <c r="L316" s="114">
        <f>IF($E316="Not Scored", "N/A",IF(AND($D316='Auto Responses'!$J$27,$H316=""),"N/A",IF(AND($D316='Auto Responses'!$J$27,$H316='Auto Responses'!$J$7),1,IF(AND($D316='Auto Responses'!$J$27,$H316='Auto Responses'!$J$8),0,IF(OR($F316=$G316,$H316='Auto Responses'!$J$7),1,0)))))</f>
        <v>0</v>
      </c>
      <c r="M316" s="10" t="str">
        <f>VLOOKUP($A316,'Institution Evaluation'!$A$56:$K$346,10,0)&amp;""</f>
        <v/>
      </c>
      <c r="N316" s="10">
        <f t="shared" si="65"/>
        <v>1</v>
      </c>
      <c r="O316" s="114" t="str">
        <f t="shared" si="70"/>
        <v>N/A</v>
      </c>
      <c r="P316" s="114" t="str">
        <f t="shared" si="66"/>
        <v>N/A</v>
      </c>
      <c r="Q316" s="114">
        <f t="shared" si="59"/>
        <v>0</v>
      </c>
      <c r="R316" s="114">
        <f t="shared" si="67"/>
        <v>0</v>
      </c>
      <c r="S316" s="114">
        <f t="shared" si="60"/>
        <v>0</v>
      </c>
      <c r="T316" s="114">
        <f t="shared" si="61"/>
        <v>1</v>
      </c>
      <c r="U316" s="114">
        <f t="shared" si="68"/>
        <v>83</v>
      </c>
      <c r="V316" s="114">
        <f t="shared" si="62"/>
        <v>83</v>
      </c>
    </row>
    <row r="317" spans="1:22" ht="60">
      <c r="A317" s="10" t="str">
        <f>Questions!$A317</f>
        <v>AISC-03</v>
      </c>
      <c r="B317" s="10" t="str">
        <f t="shared" si="63"/>
        <v>AISC</v>
      </c>
      <c r="C317" s="10" t="str">
        <f>VLOOKUP($A317,Questions!$A$3:$L$333,2,0)&amp;""</f>
        <v>Do you provide logging for your solution's AI feature(s) that includes user, date, and action taken?*</v>
      </c>
      <c r="D317" s="10" t="str">
        <f>VLOOKUP($A317,Questions!$A$3:$L$333,11,0)&amp;""</f>
        <v/>
      </c>
      <c r="E317" s="10" t="str">
        <f>VLOOKUP($A317,Questions!$A$3:$L$333,12,0)&amp;""</f>
        <v>AI</v>
      </c>
      <c r="F317" s="10" t="str">
        <f>VLOOKUP($A317,'Institution Evaluation'!$A$56:$K$346,3,0)&amp;""</f>
        <v/>
      </c>
      <c r="G317" s="10" t="str">
        <f>VLOOKUP($A317,'Institution Evaluation'!$A$56:$K$346,7,0)&amp;""</f>
        <v>Yes</v>
      </c>
      <c r="H317" s="10" t="str">
        <f>VLOOKUP($A317,'Institution Evaluation'!$A$56:$K$346,8,0)&amp;""</f>
        <v/>
      </c>
      <c r="I317" s="10" t="str">
        <f>VLOOKUP($A317,'Institution Evaluation'!$A$56:$K$346,9,0)&amp;""</f>
        <v>Critical Importance</v>
      </c>
      <c r="J317" s="10" t="str">
        <f>VLOOKUP($A317,'Institution Evaluation'!$A$56:$K$346,10,0)&amp;""</f>
        <v/>
      </c>
      <c r="K317" s="10">
        <f t="shared" si="64"/>
        <v>20</v>
      </c>
      <c r="L317" s="114">
        <f>IF($E317="Not Scored", "N/A",IF(AND($D317='Auto Responses'!$J$27,$H317=""),"N/A",IF(AND($D317='Auto Responses'!$J$27,$H317='Auto Responses'!$J$7),1,IF(AND($D317='Auto Responses'!$J$27,$H317='Auto Responses'!$J$8),0,IF(OR($F317=$G317,$H317='Auto Responses'!$J$7),1,0)))))</f>
        <v>0</v>
      </c>
      <c r="M317" s="10" t="str">
        <f>VLOOKUP($A317,'Institution Evaluation'!$A$56:$K$346,10,0)&amp;""</f>
        <v/>
      </c>
      <c r="N317" s="10">
        <f t="shared" si="65"/>
        <v>1</v>
      </c>
      <c r="O317" s="114" t="str">
        <f t="shared" si="70"/>
        <v>N/A</v>
      </c>
      <c r="P317" s="114" t="str">
        <f t="shared" si="66"/>
        <v>N/A</v>
      </c>
      <c r="Q317" s="114">
        <f t="shared" ref="Q317:Q333" si="71">IF(M317="TRUE",1,0)</f>
        <v>0</v>
      </c>
      <c r="R317" s="114">
        <f t="shared" si="67"/>
        <v>0</v>
      </c>
      <c r="S317" s="114">
        <f t="shared" ref="S317:S333" si="72">IF(Q317=0,0,R317)</f>
        <v>0</v>
      </c>
      <c r="T317" s="114">
        <f t="shared" ref="T317:T333" si="73">IF(N317=1,1,0)</f>
        <v>1</v>
      </c>
      <c r="U317" s="114">
        <f t="shared" si="68"/>
        <v>84</v>
      </c>
      <c r="V317" s="114">
        <f t="shared" ref="V317:V333" si="74">IF(T317=0,0,U317)</f>
        <v>84</v>
      </c>
    </row>
    <row r="318" spans="1:22" ht="60">
      <c r="A318" s="10" t="str">
        <f>Questions!$A318</f>
        <v>AISC-04</v>
      </c>
      <c r="B318" s="10" t="str">
        <f t="shared" ref="B318:B333" si="75">LEFT(A318,4)</f>
        <v>AISC</v>
      </c>
      <c r="C318" s="10" t="str">
        <f>VLOOKUP($A318,Questions!$A$3:$L$333,2,0)&amp;""</f>
        <v>Please describe how you validate user inputs.</v>
      </c>
      <c r="D318" s="10" t="str">
        <f>VLOOKUP($A318,Questions!$A$3:$L$333,11,0)&amp;""</f>
        <v/>
      </c>
      <c r="E318" s="10" t="str">
        <f>VLOOKUP($A318,Questions!$A$3:$L$333,12,0)&amp;""</f>
        <v>Not scored</v>
      </c>
      <c r="F318" s="10" t="str">
        <f>VLOOKUP($A318,'Institution Evaluation'!$A$56:$K$346,3,0)&amp;""</f>
        <v/>
      </c>
      <c r="G318" s="10" t="str">
        <f>VLOOKUP($A318,'Institution Evaluation'!$A$56:$K$346,7,0)&amp;""</f>
        <v>Not scored</v>
      </c>
      <c r="H318" s="10" t="str">
        <f>VLOOKUP($A318,'Institution Evaluation'!$A$56:$K$346,8,0)&amp;""</f>
        <v/>
      </c>
      <c r="I318" s="10" t="str">
        <f>VLOOKUP($A318,'Institution Evaluation'!$A$56:$K$346,9,0)&amp;""</f>
        <v>Standard Importance</v>
      </c>
      <c r="J318" s="10" t="str">
        <f>VLOOKUP($A318,'Institution Evaluation'!$A$56:$K$346,10,0)&amp;""</f>
        <v/>
      </c>
      <c r="K318" s="10">
        <f t="shared" ref="K318:K333" si="76">IF($I318="Critical Importance",20,IF($I318="Minor Importance",5,10))</f>
        <v>10</v>
      </c>
      <c r="L318" s="114" t="str">
        <f>IF($E318="Not Scored", "N/A",IF(AND($D318='Auto Responses'!$J$27,$H318=""),"N/A",IF(AND($D318='Auto Responses'!$J$27,$H318='Auto Responses'!$J$7),1,IF(AND($D318='Auto Responses'!$J$27,$H318='Auto Responses'!$J$8),0,IF(OR($F318=$G318,$H318='Auto Responses'!$J$7),1,0)))))</f>
        <v>N/A</v>
      </c>
      <c r="M318" s="10" t="str">
        <f>VLOOKUP($A318,'Institution Evaluation'!$A$56:$K$346,10,0)&amp;""</f>
        <v/>
      </c>
      <c r="N318" s="10">
        <f t="shared" ref="N318:N333" si="77">IF($J318="Critical Importance",1,IF(AND($J318="",$I318="Critical Importance"),1,0))</f>
        <v>0</v>
      </c>
      <c r="O318" s="114" t="str">
        <f t="shared" si="70"/>
        <v>N/A</v>
      </c>
      <c r="P318" s="114" t="str">
        <f t="shared" ref="P318:P333" si="78">IF(OR($O318="N/A",$L318="N/A"),"N/A",$O318*$L318)</f>
        <v>N/A</v>
      </c>
      <c r="Q318" s="114">
        <f t="shared" si="71"/>
        <v>0</v>
      </c>
      <c r="R318" s="114">
        <f t="shared" si="67"/>
        <v>0</v>
      </c>
      <c r="S318" s="114">
        <f t="shared" si="72"/>
        <v>0</v>
      </c>
      <c r="T318" s="114">
        <f t="shared" si="73"/>
        <v>0</v>
      </c>
      <c r="U318" s="114">
        <f t="shared" si="68"/>
        <v>84</v>
      </c>
      <c r="V318" s="114">
        <f t="shared" si="74"/>
        <v>0</v>
      </c>
    </row>
    <row r="319" spans="1:22" ht="60">
      <c r="A319" s="10" t="str">
        <f>Questions!$A319</f>
        <v>AISC-05</v>
      </c>
      <c r="B319" s="10" t="str">
        <f t="shared" si="75"/>
        <v>AISC</v>
      </c>
      <c r="C319" s="10" t="str">
        <f>VLOOKUP($A319,Questions!$A$3:$L$333,2,0)&amp;""</f>
        <v>Do you plan for and mitigate supply-chain risk related to your AI features?</v>
      </c>
      <c r="D319" s="10" t="str">
        <f>VLOOKUP($A319,Questions!$A$3:$L$333,11,0)&amp;""</f>
        <v/>
      </c>
      <c r="E319" s="10" t="str">
        <f>VLOOKUP($A319,Questions!$A$3:$L$333,12,0)&amp;""</f>
        <v>AI</v>
      </c>
      <c r="F319" s="10" t="str">
        <f>VLOOKUP($A319,'Institution Evaluation'!$A$56:$K$346,3,0)&amp;""</f>
        <v/>
      </c>
      <c r="G319" s="10" t="str">
        <f>VLOOKUP($A319,'Institution Evaluation'!$A$56:$K$346,7,0)&amp;""</f>
        <v>Yes</v>
      </c>
      <c r="H319" s="10" t="str">
        <f>VLOOKUP($A319,'Institution Evaluation'!$A$56:$K$346,8,0)&amp;""</f>
        <v/>
      </c>
      <c r="I319" s="10" t="str">
        <f>VLOOKUP($A319,'Institution Evaluation'!$A$56:$K$346,9,0)&amp;""</f>
        <v>Standard Importance</v>
      </c>
      <c r="J319" s="10" t="str">
        <f>VLOOKUP($A319,'Institution Evaluation'!$A$56:$K$346,10,0)&amp;""</f>
        <v/>
      </c>
      <c r="K319" s="10">
        <f t="shared" si="76"/>
        <v>10</v>
      </c>
      <c r="L319" s="114">
        <f>IF($E319="Not Scored", "N/A",IF(AND($D319='Auto Responses'!$J$27,$H319=""),"N/A",IF(AND($D319='Auto Responses'!$J$27,$H319='Auto Responses'!$J$7),1,IF(AND($D319='Auto Responses'!$J$27,$H319='Auto Responses'!$J$8),0,IF(OR($F319=$G319,$H319='Auto Responses'!$J$7),1,0)))))</f>
        <v>0</v>
      </c>
      <c r="M319" s="10" t="str">
        <f>VLOOKUP($A319,'Institution Evaluation'!$A$56:$K$346,10,0)&amp;""</f>
        <v/>
      </c>
      <c r="N319" s="10">
        <f t="shared" si="77"/>
        <v>0</v>
      </c>
      <c r="O319" s="114" t="str">
        <f t="shared" si="70"/>
        <v>N/A</v>
      </c>
      <c r="P319" s="114" t="str">
        <f t="shared" si="78"/>
        <v>N/A</v>
      </c>
      <c r="Q319" s="114">
        <f t="shared" si="71"/>
        <v>0</v>
      </c>
      <c r="R319" s="114">
        <f t="shared" si="67"/>
        <v>0</v>
      </c>
      <c r="S319" s="114">
        <f t="shared" si="72"/>
        <v>0</v>
      </c>
      <c r="T319" s="114">
        <f t="shared" si="73"/>
        <v>0</v>
      </c>
      <c r="U319" s="114">
        <f t="shared" si="68"/>
        <v>84</v>
      </c>
      <c r="V319" s="114">
        <f t="shared" si="74"/>
        <v>0</v>
      </c>
    </row>
    <row r="320" spans="1:22" ht="60">
      <c r="A320" s="10" t="str">
        <f>Questions!$A320</f>
        <v>AIML-01</v>
      </c>
      <c r="B320" s="10" t="str">
        <f t="shared" si="75"/>
        <v>AIML</v>
      </c>
      <c r="C320" s="10" t="str">
        <f>VLOOKUP($A320,Questions!$A$3:$L$333,2,0)&amp;""</f>
        <v>Do you separate ML training data from your ML solution data?*</v>
      </c>
      <c r="D320" s="10" t="str">
        <f>VLOOKUP($A320,Questions!$A$3:$L$333,11,0)&amp;""</f>
        <v/>
      </c>
      <c r="E320" s="10" t="str">
        <f>VLOOKUP($A320,Questions!$A$3:$L$333,12,0)&amp;""</f>
        <v>AI</v>
      </c>
      <c r="F320" s="10" t="str">
        <f>VLOOKUP($A320,'Institution Evaluation'!$A$56:$K$346,3,0)&amp;""</f>
        <v/>
      </c>
      <c r="G320" s="10" t="str">
        <f>VLOOKUP($A320,'Institution Evaluation'!$A$56:$K$346,7,0)&amp;""</f>
        <v>Yes</v>
      </c>
      <c r="H320" s="10" t="str">
        <f>VLOOKUP($A320,'Institution Evaluation'!$A$56:$K$346,8,0)&amp;""</f>
        <v/>
      </c>
      <c r="I320" s="10" t="str">
        <f>VLOOKUP($A320,'Institution Evaluation'!$A$56:$K$346,9,0)&amp;""</f>
        <v>Critical Importance</v>
      </c>
      <c r="J320" s="10" t="str">
        <f>VLOOKUP($A320,'Institution Evaluation'!$A$56:$K$346,10,0)&amp;""</f>
        <v/>
      </c>
      <c r="K320" s="10">
        <f t="shared" si="76"/>
        <v>20</v>
      </c>
      <c r="L320" s="114">
        <f>IF($E320="Not Scored", "N/A",IF(AND($D320='Auto Responses'!$J$27,$H320=""),"N/A",IF(AND($D320='Auto Responses'!$J$27,$H320='Auto Responses'!$J$7),1,IF(AND($D320='Auto Responses'!$J$27,$H320='Auto Responses'!$J$8),0,IF(OR($F320=$G320,$H320='Auto Responses'!$J$7),1,0)))))</f>
        <v>0</v>
      </c>
      <c r="M320" s="10" t="str">
        <f>VLOOKUP($A320,'Institution Evaluation'!$A$56:$K$346,10,0)&amp;""</f>
        <v/>
      </c>
      <c r="N320" s="10">
        <f t="shared" si="77"/>
        <v>1</v>
      </c>
      <c r="O320" s="114" t="str">
        <f t="shared" ref="O320:O327" si="79">IF(OR($F$20="No",$F$303="No",$E320="Not Scored"),"N/A",IF($J320="",$K320,IF($J320="Minor Importance",5,IF($J320="Standard Importance",10,IF($J320="Critical Importance",20,0)))))</f>
        <v>N/A</v>
      </c>
      <c r="P320" s="114" t="str">
        <f t="shared" si="78"/>
        <v>N/A</v>
      </c>
      <c r="Q320" s="114">
        <f t="shared" si="71"/>
        <v>0</v>
      </c>
      <c r="R320" s="114">
        <f t="shared" si="67"/>
        <v>0</v>
      </c>
      <c r="S320" s="114">
        <f t="shared" si="72"/>
        <v>0</v>
      </c>
      <c r="T320" s="114">
        <f t="shared" si="73"/>
        <v>1</v>
      </c>
      <c r="U320" s="114">
        <f t="shared" si="68"/>
        <v>85</v>
      </c>
      <c r="V320" s="114">
        <f t="shared" si="74"/>
        <v>85</v>
      </c>
    </row>
    <row r="321" spans="1:23" ht="60">
      <c r="A321" s="10" t="str">
        <f>Questions!$A321</f>
        <v>AIML-02</v>
      </c>
      <c r="B321" s="10" t="str">
        <f t="shared" si="75"/>
        <v>AIML</v>
      </c>
      <c r="C321" s="10" t="str">
        <f>VLOOKUP($A321,Questions!$A$3:$L$333,2,0)&amp;""</f>
        <v>Do you authenticate and verify your ML model's feedback?*</v>
      </c>
      <c r="D321" s="10" t="str">
        <f>VLOOKUP($A321,Questions!$A$3:$L$333,11,0)&amp;""</f>
        <v/>
      </c>
      <c r="E321" s="10" t="str">
        <f>VLOOKUP($A321,Questions!$A$3:$L$333,12,0)&amp;""</f>
        <v>AI</v>
      </c>
      <c r="F321" s="10" t="str">
        <f>VLOOKUP($A321,'Institution Evaluation'!$A$56:$K$346,3,0)&amp;""</f>
        <v/>
      </c>
      <c r="G321" s="10" t="str">
        <f>VLOOKUP($A321,'Institution Evaluation'!$A$56:$K$346,7,0)&amp;""</f>
        <v>Yes</v>
      </c>
      <c r="H321" s="10" t="str">
        <f>VLOOKUP($A321,'Institution Evaluation'!$A$56:$K$346,8,0)&amp;""</f>
        <v/>
      </c>
      <c r="I321" s="10" t="str">
        <f>VLOOKUP($A321,'Institution Evaluation'!$A$56:$K$346,9,0)&amp;""</f>
        <v>Critical Importance</v>
      </c>
      <c r="J321" s="10" t="str">
        <f>VLOOKUP($A321,'Institution Evaluation'!$A$56:$K$346,10,0)&amp;""</f>
        <v/>
      </c>
      <c r="K321" s="10">
        <f t="shared" si="76"/>
        <v>20</v>
      </c>
      <c r="L321" s="114">
        <f>IF($E321="Not Scored", "N/A",IF(AND($D321='Auto Responses'!$J$27,$H321=""),"N/A",IF(AND($D321='Auto Responses'!$J$27,$H321='Auto Responses'!$J$7),1,IF(AND($D321='Auto Responses'!$J$27,$H321='Auto Responses'!$J$8),0,IF(OR($F321=$G321,$H321='Auto Responses'!$J$7),1,0)))))</f>
        <v>0</v>
      </c>
      <c r="M321" s="10" t="str">
        <f>VLOOKUP($A321,'Institution Evaluation'!$A$56:$K$346,10,0)&amp;""</f>
        <v/>
      </c>
      <c r="N321" s="10">
        <f t="shared" si="77"/>
        <v>1</v>
      </c>
      <c r="O321" s="114" t="str">
        <f t="shared" si="79"/>
        <v>N/A</v>
      </c>
      <c r="P321" s="114" t="str">
        <f t="shared" si="78"/>
        <v>N/A</v>
      </c>
      <c r="Q321" s="114">
        <f t="shared" si="71"/>
        <v>0</v>
      </c>
      <c r="R321" s="114">
        <f t="shared" si="67"/>
        <v>0</v>
      </c>
      <c r="S321" s="114">
        <f t="shared" si="72"/>
        <v>0</v>
      </c>
      <c r="T321" s="114">
        <f t="shared" si="73"/>
        <v>1</v>
      </c>
      <c r="U321" s="114">
        <f t="shared" si="68"/>
        <v>86</v>
      </c>
      <c r="V321" s="114">
        <f t="shared" si="74"/>
        <v>86</v>
      </c>
    </row>
    <row r="322" spans="1:23" ht="60">
      <c r="A322" s="10" t="str">
        <f>Questions!$A322</f>
        <v>AIML-03</v>
      </c>
      <c r="B322" s="10" t="str">
        <f t="shared" si="75"/>
        <v>AIML</v>
      </c>
      <c r="C322" s="10" t="str">
        <f>VLOOKUP($A322,Questions!$A$3:$L$333,2,0)&amp;""</f>
        <v>Is your ML training data vetted, validated, and verified before training the solution's AI model?</v>
      </c>
      <c r="D322" s="10" t="str">
        <f>VLOOKUP($A322,Questions!$A$3:$L$333,11,0)&amp;""</f>
        <v/>
      </c>
      <c r="E322" s="10" t="str">
        <f>VLOOKUP($A322,Questions!$A$3:$L$333,12,0)&amp;""</f>
        <v>AI</v>
      </c>
      <c r="F322" s="10" t="str">
        <f>VLOOKUP($A322,'Institution Evaluation'!$A$56:$K$346,3,0)&amp;""</f>
        <v/>
      </c>
      <c r="G322" s="10" t="str">
        <f>VLOOKUP($A322,'Institution Evaluation'!$A$56:$K$346,7,0)&amp;""</f>
        <v>Yes</v>
      </c>
      <c r="H322" s="10" t="str">
        <f>VLOOKUP($A322,'Institution Evaluation'!$A$56:$K$346,8,0)&amp;""</f>
        <v/>
      </c>
      <c r="I322" s="10" t="str">
        <f>VLOOKUP($A322,'Institution Evaluation'!$A$56:$K$346,9,0)&amp;""</f>
        <v>Standard Importance</v>
      </c>
      <c r="J322" s="10" t="str">
        <f>VLOOKUP($A322,'Institution Evaluation'!$A$56:$K$346,10,0)&amp;""</f>
        <v/>
      </c>
      <c r="K322" s="10">
        <f t="shared" si="76"/>
        <v>10</v>
      </c>
      <c r="L322" s="114">
        <f>IF($E322="Not Scored", "N/A",IF(AND($D322='Auto Responses'!$J$27,$H322=""),"N/A",IF(AND($D322='Auto Responses'!$J$27,$H322='Auto Responses'!$J$7),1,IF(AND($D322='Auto Responses'!$J$27,$H322='Auto Responses'!$J$8),0,IF(OR($F322=$G322,$H322='Auto Responses'!$J$7),1,0)))))</f>
        <v>0</v>
      </c>
      <c r="M322" s="10" t="str">
        <f>VLOOKUP($A322,'Institution Evaluation'!$A$56:$K$346,10,0)&amp;""</f>
        <v/>
      </c>
      <c r="N322" s="10">
        <f t="shared" si="77"/>
        <v>0</v>
      </c>
      <c r="O322" s="114" t="str">
        <f t="shared" si="79"/>
        <v>N/A</v>
      </c>
      <c r="P322" s="114" t="str">
        <f t="shared" si="78"/>
        <v>N/A</v>
      </c>
      <c r="Q322" s="114">
        <f t="shared" si="71"/>
        <v>0</v>
      </c>
      <c r="R322" s="114">
        <f t="shared" si="67"/>
        <v>0</v>
      </c>
      <c r="S322" s="114">
        <f t="shared" si="72"/>
        <v>0</v>
      </c>
      <c r="T322" s="114">
        <f t="shared" si="73"/>
        <v>0</v>
      </c>
      <c r="U322" s="114">
        <f t="shared" si="68"/>
        <v>86</v>
      </c>
      <c r="V322" s="114">
        <f t="shared" si="74"/>
        <v>0</v>
      </c>
    </row>
    <row r="323" spans="1:23" ht="60">
      <c r="A323" s="10" t="str">
        <f>Questions!$A323</f>
        <v>AIML-04</v>
      </c>
      <c r="B323" s="10" t="str">
        <f t="shared" si="75"/>
        <v>AIML</v>
      </c>
      <c r="C323" s="10" t="str">
        <f>VLOOKUP($A323,Questions!$A$3:$L$333,2,0)&amp;""</f>
        <v>Is your ML training data monitored and audited?</v>
      </c>
      <c r="D323" s="10" t="str">
        <f>VLOOKUP($A323,Questions!$A$3:$L$333,11,0)&amp;""</f>
        <v/>
      </c>
      <c r="E323" s="10" t="str">
        <f>VLOOKUP($A323,Questions!$A$3:$L$333,12,0)&amp;""</f>
        <v>AI</v>
      </c>
      <c r="F323" s="10" t="str">
        <f>VLOOKUP($A323,'Institution Evaluation'!$A$56:$K$346,3,0)&amp;""</f>
        <v/>
      </c>
      <c r="G323" s="10" t="str">
        <f>VLOOKUP($A323,'Institution Evaluation'!$A$56:$K$346,7,0)&amp;""</f>
        <v>Yes</v>
      </c>
      <c r="H323" s="10" t="str">
        <f>VLOOKUP($A323,'Institution Evaluation'!$A$56:$K$346,8,0)&amp;""</f>
        <v/>
      </c>
      <c r="I323" s="10" t="str">
        <f>VLOOKUP($A323,'Institution Evaluation'!$A$56:$K$346,9,0)&amp;""</f>
        <v>Standard Importance</v>
      </c>
      <c r="J323" s="10" t="str">
        <f>VLOOKUP($A323,'Institution Evaluation'!$A$56:$K$346,10,0)&amp;""</f>
        <v/>
      </c>
      <c r="K323" s="10">
        <f t="shared" si="76"/>
        <v>10</v>
      </c>
      <c r="L323" s="114">
        <f>IF($E323="Not Scored", "N/A",IF(AND($D323='Auto Responses'!$J$27,$H323=""),"N/A",IF(AND($D323='Auto Responses'!$J$27,$H323='Auto Responses'!$J$7),1,IF(AND($D323='Auto Responses'!$J$27,$H323='Auto Responses'!$J$8),0,IF(OR($F323=$G323,$H323='Auto Responses'!$J$7),1,0)))))</f>
        <v>0</v>
      </c>
      <c r="M323" s="10" t="str">
        <f>VLOOKUP($A323,'Institution Evaluation'!$A$56:$K$346,10,0)&amp;""</f>
        <v/>
      </c>
      <c r="N323" s="10">
        <f t="shared" si="77"/>
        <v>0</v>
      </c>
      <c r="O323" s="114" t="str">
        <f t="shared" si="79"/>
        <v>N/A</v>
      </c>
      <c r="P323" s="114" t="str">
        <f t="shared" si="78"/>
        <v>N/A</v>
      </c>
      <c r="Q323" s="114">
        <f t="shared" si="71"/>
        <v>0</v>
      </c>
      <c r="R323" s="114">
        <f t="shared" si="67"/>
        <v>0</v>
      </c>
      <c r="S323" s="114">
        <f t="shared" si="72"/>
        <v>0</v>
      </c>
      <c r="T323" s="114">
        <f t="shared" si="73"/>
        <v>0</v>
      </c>
      <c r="U323" s="114">
        <f t="shared" si="68"/>
        <v>86</v>
      </c>
      <c r="V323" s="114">
        <f t="shared" si="74"/>
        <v>0</v>
      </c>
    </row>
    <row r="324" spans="1:23" ht="60">
      <c r="A324" s="10" t="str">
        <f>Questions!$A324</f>
        <v>AIML-05</v>
      </c>
      <c r="B324" s="10" t="str">
        <f t="shared" si="75"/>
        <v>AIML</v>
      </c>
      <c r="C324" s="10" t="str">
        <f>VLOOKUP($A324,Questions!$A$3:$L$333,2,0)&amp;""</f>
        <v>Have you limited access to your ML training data to only staff with an explicit business need?</v>
      </c>
      <c r="D324" s="10" t="str">
        <f>VLOOKUP($A324,Questions!$A$3:$L$333,11,0)&amp;""</f>
        <v/>
      </c>
      <c r="E324" s="10" t="str">
        <f>VLOOKUP($A324,Questions!$A$3:$L$333,12,0)&amp;""</f>
        <v>AI</v>
      </c>
      <c r="F324" s="10" t="str">
        <f>VLOOKUP($A324,'Institution Evaluation'!$A$56:$K$346,3,0)&amp;""</f>
        <v/>
      </c>
      <c r="G324" s="10" t="str">
        <f>VLOOKUP($A324,'Institution Evaluation'!$A$56:$K$346,7,0)&amp;""</f>
        <v>Yes</v>
      </c>
      <c r="H324" s="10" t="str">
        <f>VLOOKUP($A324,'Institution Evaluation'!$A$56:$K$346,8,0)&amp;""</f>
        <v/>
      </c>
      <c r="I324" s="10" t="str">
        <f>VLOOKUP($A324,'Institution Evaluation'!$A$56:$K$346,9,0)&amp;""</f>
        <v>Minor Importance</v>
      </c>
      <c r="J324" s="10" t="str">
        <f>VLOOKUP($A324,'Institution Evaluation'!$A$56:$K$346,10,0)&amp;""</f>
        <v/>
      </c>
      <c r="K324" s="10">
        <f t="shared" si="76"/>
        <v>5</v>
      </c>
      <c r="L324" s="114">
        <f>IF($E324="Not Scored", "N/A",IF(AND($D324='Auto Responses'!$J$27,$H324=""),"N/A",IF(AND($D324='Auto Responses'!$J$27,$H324='Auto Responses'!$J$7),1,IF(AND($D324='Auto Responses'!$J$27,$H324='Auto Responses'!$J$8),0,IF(OR($F324=$G324,$H324='Auto Responses'!$J$7),1,0)))))</f>
        <v>0</v>
      </c>
      <c r="M324" s="10" t="str">
        <f>VLOOKUP($A324,'Institution Evaluation'!$A$56:$K$346,10,0)&amp;""</f>
        <v/>
      </c>
      <c r="N324" s="10">
        <f t="shared" si="77"/>
        <v>0</v>
      </c>
      <c r="O324" s="114" t="str">
        <f t="shared" si="79"/>
        <v>N/A</v>
      </c>
      <c r="P324" s="114" t="str">
        <f t="shared" si="78"/>
        <v>N/A</v>
      </c>
      <c r="Q324" s="114">
        <f t="shared" si="71"/>
        <v>0</v>
      </c>
      <c r="R324" s="114">
        <f t="shared" si="67"/>
        <v>0</v>
      </c>
      <c r="S324" s="114">
        <f t="shared" si="72"/>
        <v>0</v>
      </c>
      <c r="T324" s="114">
        <f t="shared" si="73"/>
        <v>0</v>
      </c>
      <c r="U324" s="114">
        <f t="shared" si="68"/>
        <v>86</v>
      </c>
      <c r="V324" s="114">
        <f t="shared" si="74"/>
        <v>0</v>
      </c>
    </row>
    <row r="325" spans="1:23" ht="60">
      <c r="A325" s="10" t="str">
        <f>Questions!$A325</f>
        <v>AIML-06</v>
      </c>
      <c r="B325" s="10" t="str">
        <f t="shared" si="75"/>
        <v>AIML</v>
      </c>
      <c r="C325" s="10" t="str">
        <f>VLOOKUP($A325,Questions!$A$3:$L$333,2,0)&amp;""</f>
        <v>Have you implemented adversarial training or other model defense mechanisms to protect your ML-related features?</v>
      </c>
      <c r="D325" s="10" t="str">
        <f>VLOOKUP($A325,Questions!$A$3:$L$333,11,0)&amp;""</f>
        <v/>
      </c>
      <c r="E325" s="10" t="str">
        <f>VLOOKUP($A325,Questions!$A$3:$L$333,12,0)&amp;""</f>
        <v>AI</v>
      </c>
      <c r="F325" s="10" t="str">
        <f>VLOOKUP($A325,'Institution Evaluation'!$A$56:$K$346,3,0)&amp;""</f>
        <v/>
      </c>
      <c r="G325" s="10" t="str">
        <f>VLOOKUP($A325,'Institution Evaluation'!$A$56:$K$346,7,0)&amp;""</f>
        <v>Yes</v>
      </c>
      <c r="H325" s="10" t="str">
        <f>VLOOKUP($A325,'Institution Evaluation'!$A$56:$K$346,8,0)&amp;""</f>
        <v/>
      </c>
      <c r="I325" s="10" t="str">
        <f>VLOOKUP($A325,'Institution Evaluation'!$A$56:$K$346,9,0)&amp;""</f>
        <v>Minor Importance</v>
      </c>
      <c r="J325" s="10" t="str">
        <f>VLOOKUP($A325,'Institution Evaluation'!$A$56:$K$346,10,0)&amp;""</f>
        <v/>
      </c>
      <c r="K325" s="10">
        <f t="shared" si="76"/>
        <v>5</v>
      </c>
      <c r="L325" s="114">
        <f>IF($E325="Not Scored", "N/A",IF(AND($D325='Auto Responses'!$J$27,$H325=""),"N/A",IF(AND($D325='Auto Responses'!$J$27,$H325='Auto Responses'!$J$7),1,IF(AND($D325='Auto Responses'!$J$27,$H325='Auto Responses'!$J$8),0,IF(OR($F325=$G325,$H325='Auto Responses'!$J$7),1,0)))))</f>
        <v>0</v>
      </c>
      <c r="M325" s="10" t="str">
        <f>VLOOKUP($A325,'Institution Evaluation'!$A$56:$K$346,10,0)&amp;""</f>
        <v/>
      </c>
      <c r="N325" s="10">
        <f t="shared" si="77"/>
        <v>0</v>
      </c>
      <c r="O325" s="114" t="str">
        <f t="shared" si="79"/>
        <v>N/A</v>
      </c>
      <c r="P325" s="114" t="str">
        <f t="shared" si="78"/>
        <v>N/A</v>
      </c>
      <c r="Q325" s="114">
        <f t="shared" si="71"/>
        <v>0</v>
      </c>
      <c r="R325" s="114">
        <f t="shared" ref="R325:R333" si="80">R324+Q325</f>
        <v>0</v>
      </c>
      <c r="S325" s="114">
        <f t="shared" si="72"/>
        <v>0</v>
      </c>
      <c r="T325" s="114">
        <f t="shared" si="73"/>
        <v>0</v>
      </c>
      <c r="U325" s="114">
        <f t="shared" ref="U325:U333" si="81">U324+T325</f>
        <v>86</v>
      </c>
      <c r="V325" s="114">
        <f t="shared" si="74"/>
        <v>0</v>
      </c>
    </row>
    <row r="326" spans="1:23" ht="60">
      <c r="A326" s="10" t="str">
        <f>Questions!$A326</f>
        <v>AIML-07</v>
      </c>
      <c r="B326" s="10" t="str">
        <f t="shared" si="75"/>
        <v>AIML</v>
      </c>
      <c r="C326" s="10" t="str">
        <f>VLOOKUP($A326,Questions!$A$3:$L$333,2,0)&amp;""</f>
        <v>Do you make your ML model transparent through documentation and log inputs and outputs?</v>
      </c>
      <c r="D326" s="10" t="str">
        <f>VLOOKUP($A326,Questions!$A$3:$L$333,11,0)&amp;""</f>
        <v/>
      </c>
      <c r="E326" s="10" t="str">
        <f>VLOOKUP($A326,Questions!$A$3:$L$333,12,0)&amp;""</f>
        <v>AI</v>
      </c>
      <c r="F326" s="10" t="str">
        <f>VLOOKUP($A326,'Institution Evaluation'!$A$56:$K$346,3,0)&amp;""</f>
        <v/>
      </c>
      <c r="G326" s="10" t="str">
        <f>VLOOKUP($A326,'Institution Evaluation'!$A$56:$K$346,7,0)&amp;""</f>
        <v>Yes</v>
      </c>
      <c r="H326" s="10" t="str">
        <f>VLOOKUP($A326,'Institution Evaluation'!$A$56:$K$346,8,0)&amp;""</f>
        <v/>
      </c>
      <c r="I326" s="10" t="str">
        <f>VLOOKUP($A326,'Institution Evaluation'!$A$56:$K$346,9,0)&amp;""</f>
        <v>Minor Importance</v>
      </c>
      <c r="J326" s="10" t="str">
        <f>VLOOKUP($A326,'Institution Evaluation'!$A$56:$K$346,10,0)&amp;""</f>
        <v/>
      </c>
      <c r="K326" s="10">
        <f t="shared" si="76"/>
        <v>5</v>
      </c>
      <c r="L326" s="114">
        <f>IF($E326="Not Scored", "N/A",IF(AND($D326='Auto Responses'!$J$27,$H326=""),"N/A",IF(AND($D326='Auto Responses'!$J$27,$H326='Auto Responses'!$J$7),1,IF(AND($D326='Auto Responses'!$J$27,$H326='Auto Responses'!$J$8),0,IF(OR($F326=$G326,$H326='Auto Responses'!$J$7),1,0)))))</f>
        <v>0</v>
      </c>
      <c r="M326" s="10" t="str">
        <f>VLOOKUP($A326,'Institution Evaluation'!$A$56:$K$346,10,0)&amp;""</f>
        <v/>
      </c>
      <c r="N326" s="10">
        <f t="shared" si="77"/>
        <v>0</v>
      </c>
      <c r="O326" s="114" t="str">
        <f t="shared" si="79"/>
        <v>N/A</v>
      </c>
      <c r="P326" s="114" t="str">
        <f t="shared" si="78"/>
        <v>N/A</v>
      </c>
      <c r="Q326" s="114">
        <f t="shared" si="71"/>
        <v>0</v>
      </c>
      <c r="R326" s="114">
        <f t="shared" si="80"/>
        <v>0</v>
      </c>
      <c r="S326" s="114">
        <f t="shared" si="72"/>
        <v>0</v>
      </c>
      <c r="T326" s="114">
        <f t="shared" si="73"/>
        <v>0</v>
      </c>
      <c r="U326" s="114">
        <f t="shared" si="81"/>
        <v>86</v>
      </c>
      <c r="V326" s="114">
        <f t="shared" si="74"/>
        <v>0</v>
      </c>
    </row>
    <row r="327" spans="1:23" ht="60">
      <c r="A327" s="10" t="str">
        <f>Questions!$A327</f>
        <v>AIML-08</v>
      </c>
      <c r="B327" s="10" t="str">
        <f t="shared" si="75"/>
        <v>AIML</v>
      </c>
      <c r="C327" s="10" t="str">
        <f>VLOOKUP($A327,Questions!$A$3:$L$333,2,0)&amp;""</f>
        <v>Do you watermark your ML training data?</v>
      </c>
      <c r="D327" s="10" t="str">
        <f>VLOOKUP($A327,Questions!$A$3:$L$333,11,0)&amp;""</f>
        <v/>
      </c>
      <c r="E327" s="10" t="str">
        <f>VLOOKUP($A327,Questions!$A$3:$L$333,12,0)&amp;""</f>
        <v>AI</v>
      </c>
      <c r="F327" s="10" t="str">
        <f>VLOOKUP($A327,'Institution Evaluation'!$A$56:$K$346,3,0)&amp;""</f>
        <v/>
      </c>
      <c r="G327" s="10" t="str">
        <f>VLOOKUP($A327,'Institution Evaluation'!$A$56:$K$346,7,0)&amp;""</f>
        <v>Yes</v>
      </c>
      <c r="H327" s="10" t="str">
        <f>VLOOKUP($A327,'Institution Evaluation'!$A$56:$K$346,8,0)&amp;""</f>
        <v/>
      </c>
      <c r="I327" s="10" t="str">
        <f>VLOOKUP($A327,'Institution Evaluation'!$A$56:$K$346,9,0)&amp;""</f>
        <v>Minor Importance</v>
      </c>
      <c r="J327" s="10" t="str">
        <f>VLOOKUP($A327,'Institution Evaluation'!$A$56:$K$346,10,0)&amp;""</f>
        <v/>
      </c>
      <c r="K327" s="10">
        <f t="shared" si="76"/>
        <v>5</v>
      </c>
      <c r="L327" s="114">
        <f>IF($E327="Not Scored", "N/A",IF(AND($D327='Auto Responses'!$J$27,$H327=""),"N/A",IF(AND($D327='Auto Responses'!$J$27,$H327='Auto Responses'!$J$7),1,IF(AND($D327='Auto Responses'!$J$27,$H327='Auto Responses'!$J$8),0,IF(OR($F327=$G327,$H327='Auto Responses'!$J$7),1,0)))))</f>
        <v>0</v>
      </c>
      <c r="M327" s="10" t="str">
        <f>VLOOKUP($A327,'Institution Evaluation'!$A$56:$K$346,10,0)&amp;""</f>
        <v/>
      </c>
      <c r="N327" s="10">
        <f t="shared" si="77"/>
        <v>0</v>
      </c>
      <c r="O327" s="114" t="str">
        <f t="shared" si="79"/>
        <v>N/A</v>
      </c>
      <c r="P327" s="114" t="str">
        <f t="shared" si="78"/>
        <v>N/A</v>
      </c>
      <c r="Q327" s="114">
        <f t="shared" si="71"/>
        <v>0</v>
      </c>
      <c r="R327" s="114">
        <f t="shared" si="80"/>
        <v>0</v>
      </c>
      <c r="S327" s="114">
        <f t="shared" si="72"/>
        <v>0</v>
      </c>
      <c r="T327" s="114">
        <f t="shared" si="73"/>
        <v>0</v>
      </c>
      <c r="U327" s="114">
        <f t="shared" si="81"/>
        <v>86</v>
      </c>
      <c r="V327" s="114">
        <f t="shared" si="74"/>
        <v>0</v>
      </c>
    </row>
    <row r="328" spans="1:23" ht="60">
      <c r="A328" s="10" t="str">
        <f>Questions!$A328</f>
        <v>AILM-01</v>
      </c>
      <c r="B328" s="10" t="str">
        <f t="shared" si="75"/>
        <v>AILM</v>
      </c>
      <c r="C328" s="10" t="str">
        <f>VLOOKUP($A328,Questions!$A$3:$L$333,2,0)&amp;""</f>
        <v>Do you limit your solution's LLM privileges by default?*</v>
      </c>
      <c r="D328" s="10" t="str">
        <f>VLOOKUP($A328,Questions!$A$3:$L$333,11,0)&amp;""</f>
        <v/>
      </c>
      <c r="E328" s="10" t="str">
        <f>VLOOKUP($A328,Questions!$A$3:$L$333,12,0)&amp;""</f>
        <v>AI</v>
      </c>
      <c r="F328" s="10" t="str">
        <f>VLOOKUP($A328,'Institution Evaluation'!$A$56:$K$346,3,0)&amp;""</f>
        <v/>
      </c>
      <c r="G328" s="10" t="str">
        <f>VLOOKUP($A328,'Institution Evaluation'!$A$56:$K$346,7,0)&amp;""</f>
        <v>Yes</v>
      </c>
      <c r="H328" s="10" t="str">
        <f>VLOOKUP($A328,'Institution Evaluation'!$A$56:$K$346,8,0)&amp;""</f>
        <v/>
      </c>
      <c r="I328" s="10" t="str">
        <f>VLOOKUP($A328,'Institution Evaluation'!$A$56:$K$346,9,0)&amp;""</f>
        <v>Critical Importance</v>
      </c>
      <c r="J328" s="10" t="str">
        <f>VLOOKUP($A328,'Institution Evaluation'!$A$56:$K$346,10,0)&amp;""</f>
        <v/>
      </c>
      <c r="K328" s="10">
        <f t="shared" si="76"/>
        <v>20</v>
      </c>
      <c r="L328" s="114">
        <f>IF($E328="Not Scored", "N/A",IF(AND($D328='Auto Responses'!$J$27,$H328=""),"N/A",IF(AND($D328='Auto Responses'!$J$27,$H328='Auto Responses'!$J$7),1,IF(AND($D328='Auto Responses'!$J$27,$H328='Auto Responses'!$J$8),0,IF(OR($F328=$G328,$H328='Auto Responses'!$J$7),1,0)))))</f>
        <v>0</v>
      </c>
      <c r="M328" s="10" t="str">
        <f>VLOOKUP($A328,'Institution Evaluation'!$A$56:$K$346,10,0)&amp;""</f>
        <v/>
      </c>
      <c r="N328" s="10">
        <f t="shared" si="77"/>
        <v>1</v>
      </c>
      <c r="O328" s="114" t="str">
        <f t="shared" ref="O328:O333" si="82">IF(OR($F$20="No",$F$304="No",$E328="Not Scored"),"N/A",IF($J328="",$K328,IF($J328="Minor Importance",5,IF($J328="Standard Importance",10,IF($J328="Critical Importance",20,0)))))</f>
        <v>N/A</v>
      </c>
      <c r="P328" s="114" t="str">
        <f t="shared" si="78"/>
        <v>N/A</v>
      </c>
      <c r="Q328" s="114">
        <f t="shared" si="71"/>
        <v>0</v>
      </c>
      <c r="R328" s="114">
        <f t="shared" si="80"/>
        <v>0</v>
      </c>
      <c r="S328" s="114">
        <f t="shared" si="72"/>
        <v>0</v>
      </c>
      <c r="T328" s="114">
        <f t="shared" si="73"/>
        <v>1</v>
      </c>
      <c r="U328" s="114">
        <f t="shared" si="81"/>
        <v>87</v>
      </c>
      <c r="V328" s="114">
        <f t="shared" si="74"/>
        <v>87</v>
      </c>
    </row>
    <row r="329" spans="1:23" ht="60">
      <c r="A329" s="10" t="str">
        <f>Questions!$A329</f>
        <v>AILM-02</v>
      </c>
      <c r="B329" s="10" t="str">
        <f t="shared" si="75"/>
        <v>AILM</v>
      </c>
      <c r="C329" s="10" t="str">
        <f>VLOOKUP($A329,Questions!$A$3:$L$333,2,0)&amp;""</f>
        <v>Is your LLM training data vetted, validated, and verified before training the solution's AI model?*</v>
      </c>
      <c r="D329" s="10" t="str">
        <f>VLOOKUP($A329,Questions!$A$3:$L$333,11,0)&amp;""</f>
        <v/>
      </c>
      <c r="E329" s="10" t="str">
        <f>VLOOKUP($A329,Questions!$A$3:$L$333,12,0)&amp;""</f>
        <v>AI</v>
      </c>
      <c r="F329" s="10" t="str">
        <f>VLOOKUP($A329,'Institution Evaluation'!$A$56:$K$346,3,0)&amp;""</f>
        <v/>
      </c>
      <c r="G329" s="10" t="str">
        <f>VLOOKUP($A329,'Institution Evaluation'!$A$56:$K$346,7,0)&amp;""</f>
        <v>Yes</v>
      </c>
      <c r="H329" s="10" t="str">
        <f>VLOOKUP($A329,'Institution Evaluation'!$A$56:$K$346,8,0)&amp;""</f>
        <v/>
      </c>
      <c r="I329" s="10" t="str">
        <f>VLOOKUP($A329,'Institution Evaluation'!$A$56:$K$346,9,0)&amp;""</f>
        <v>Critical Importance</v>
      </c>
      <c r="J329" s="10" t="str">
        <f>VLOOKUP($A329,'Institution Evaluation'!$A$56:$K$346,10,0)&amp;""</f>
        <v/>
      </c>
      <c r="K329" s="10">
        <f t="shared" si="76"/>
        <v>20</v>
      </c>
      <c r="L329" s="114">
        <f>IF($E329="Not Scored", "N/A",IF(AND($D329='Auto Responses'!$J$27,$H329=""),"N/A",IF(AND($D329='Auto Responses'!$J$27,$H329='Auto Responses'!$J$7),1,IF(AND($D329='Auto Responses'!$J$27,$H329='Auto Responses'!$J$8),0,IF(OR($F329=$G329,$H329='Auto Responses'!$J$7),1,0)))))</f>
        <v>0</v>
      </c>
      <c r="M329" s="10" t="str">
        <f>VLOOKUP($A329,'Institution Evaluation'!$A$56:$K$346,10,0)&amp;""</f>
        <v/>
      </c>
      <c r="N329" s="10">
        <f t="shared" si="77"/>
        <v>1</v>
      </c>
      <c r="O329" s="114" t="str">
        <f t="shared" si="82"/>
        <v>N/A</v>
      </c>
      <c r="P329" s="114" t="str">
        <f t="shared" si="78"/>
        <v>N/A</v>
      </c>
      <c r="Q329" s="114">
        <f t="shared" si="71"/>
        <v>0</v>
      </c>
      <c r="R329" s="114">
        <f t="shared" si="80"/>
        <v>0</v>
      </c>
      <c r="S329" s="114">
        <f t="shared" si="72"/>
        <v>0</v>
      </c>
      <c r="T329" s="114">
        <f t="shared" si="73"/>
        <v>1</v>
      </c>
      <c r="U329" s="114">
        <f t="shared" si="81"/>
        <v>88</v>
      </c>
      <c r="V329" s="114">
        <f t="shared" si="74"/>
        <v>88</v>
      </c>
    </row>
    <row r="330" spans="1:23" ht="60">
      <c r="A330" s="10" t="str">
        <f>Questions!$A330</f>
        <v>AILM-03</v>
      </c>
      <c r="B330" s="10" t="str">
        <f t="shared" si="75"/>
        <v>AILM</v>
      </c>
      <c r="C330" s="10" t="str">
        <f>VLOOKUP($A330,Questions!$A$3:$L$333,2,0)&amp;""</f>
        <v>Do any actions taken by your solution's LLM features or plugins require human intervention?*</v>
      </c>
      <c r="D330" s="10" t="str">
        <f>VLOOKUP($A330,Questions!$A$3:$L$333,11,0)&amp;""</f>
        <v/>
      </c>
      <c r="E330" s="10" t="str">
        <f>VLOOKUP($A330,Questions!$A$3:$L$333,12,0)&amp;""</f>
        <v>AI</v>
      </c>
      <c r="F330" s="10" t="str">
        <f>VLOOKUP($A330,'Institution Evaluation'!$A$56:$K$346,3,0)&amp;""</f>
        <v/>
      </c>
      <c r="G330" s="10" t="str">
        <f>VLOOKUP($A330,'Institution Evaluation'!$A$56:$K$346,7,0)&amp;""</f>
        <v>Yes</v>
      </c>
      <c r="H330" s="10" t="str">
        <f>VLOOKUP($A330,'Institution Evaluation'!$A$56:$K$346,8,0)&amp;""</f>
        <v/>
      </c>
      <c r="I330" s="10" t="str">
        <f>VLOOKUP($A330,'Institution Evaluation'!$A$56:$K$346,9,0)&amp;""</f>
        <v>Critical Importance</v>
      </c>
      <c r="J330" s="10" t="str">
        <f>VLOOKUP($A330,'Institution Evaluation'!$A$56:$K$346,10,0)&amp;""</f>
        <v/>
      </c>
      <c r="K330" s="10">
        <f t="shared" si="76"/>
        <v>20</v>
      </c>
      <c r="L330" s="114">
        <f>IF($E330="Not Scored", "N/A",IF(AND($D330='Auto Responses'!$J$27,$H330=""),"N/A",IF(AND($D330='Auto Responses'!$J$27,$H330='Auto Responses'!$J$7),1,IF(AND($D330='Auto Responses'!$J$27,$H330='Auto Responses'!$J$8),0,IF(OR($F330=$G330,$H330='Auto Responses'!$J$7),1,0)))))</f>
        <v>0</v>
      </c>
      <c r="M330" s="10" t="str">
        <f>VLOOKUP($A330,'Institution Evaluation'!$A$56:$K$346,10,0)&amp;""</f>
        <v/>
      </c>
      <c r="N330" s="10">
        <f t="shared" si="77"/>
        <v>1</v>
      </c>
      <c r="O330" s="114" t="str">
        <f t="shared" si="82"/>
        <v>N/A</v>
      </c>
      <c r="P330" s="114" t="str">
        <f t="shared" si="78"/>
        <v>N/A</v>
      </c>
      <c r="Q330" s="114">
        <f t="shared" si="71"/>
        <v>0</v>
      </c>
      <c r="R330" s="114">
        <f t="shared" si="80"/>
        <v>0</v>
      </c>
      <c r="S330" s="114">
        <f t="shared" si="72"/>
        <v>0</v>
      </c>
      <c r="T330" s="114">
        <f t="shared" si="73"/>
        <v>1</v>
      </c>
      <c r="U330" s="114">
        <f t="shared" si="81"/>
        <v>89</v>
      </c>
      <c r="V330" s="114">
        <f t="shared" si="74"/>
        <v>89</v>
      </c>
    </row>
    <row r="331" spans="1:23" ht="60">
      <c r="A331" s="10" t="str">
        <f>Questions!$A331</f>
        <v>AILM-04</v>
      </c>
      <c r="B331" s="10" t="str">
        <f t="shared" si="75"/>
        <v>AILM</v>
      </c>
      <c r="C331" s="10" t="str">
        <f>VLOOKUP($A331,Questions!$A$3:$L$333,2,0)&amp;""</f>
        <v>Do you limit multiple LLM model plugins being called as part of a single input?*</v>
      </c>
      <c r="D331" s="10" t="str">
        <f>VLOOKUP($A331,Questions!$A$3:$L$333,11,0)&amp;""</f>
        <v/>
      </c>
      <c r="E331" s="10" t="str">
        <f>VLOOKUP($A331,Questions!$A$3:$L$333,12,0)&amp;""</f>
        <v>AI</v>
      </c>
      <c r="F331" s="10" t="str">
        <f>VLOOKUP($A331,'Institution Evaluation'!$A$56:$K$346,3,0)&amp;""</f>
        <v/>
      </c>
      <c r="G331" s="10" t="str">
        <f>VLOOKUP($A331,'Institution Evaluation'!$A$56:$K$346,7,0)&amp;""</f>
        <v>Yes</v>
      </c>
      <c r="H331" s="10" t="str">
        <f>VLOOKUP($A331,'Institution Evaluation'!$A$56:$K$346,8,0)&amp;""</f>
        <v/>
      </c>
      <c r="I331" s="10" t="str">
        <f>VLOOKUP($A331,'Institution Evaluation'!$A$56:$K$346,9,0)&amp;""</f>
        <v>Critical Importance</v>
      </c>
      <c r="J331" s="10" t="str">
        <f>VLOOKUP($A331,'Institution Evaluation'!$A$56:$K$346,10,0)&amp;""</f>
        <v/>
      </c>
      <c r="K331" s="10">
        <f t="shared" si="76"/>
        <v>20</v>
      </c>
      <c r="L331" s="114">
        <f>IF($E331="Not Scored", "N/A",IF(AND($D331='Auto Responses'!$J$27,$H331=""),"N/A",IF(AND($D331='Auto Responses'!$J$27,$H331='Auto Responses'!$J$7),1,IF(AND($D331='Auto Responses'!$J$27,$H331='Auto Responses'!$J$8),0,IF(OR($F331=$G331,$H331='Auto Responses'!$J$7),1,0)))))</f>
        <v>0</v>
      </c>
      <c r="M331" s="10" t="str">
        <f>VLOOKUP($A331,'Institution Evaluation'!$A$56:$K$346,10,0)&amp;""</f>
        <v/>
      </c>
      <c r="N331" s="10">
        <f t="shared" si="77"/>
        <v>1</v>
      </c>
      <c r="O331" s="114" t="str">
        <f t="shared" si="82"/>
        <v>N/A</v>
      </c>
      <c r="P331" s="114" t="str">
        <f t="shared" si="78"/>
        <v>N/A</v>
      </c>
      <c r="Q331" s="114">
        <f t="shared" si="71"/>
        <v>0</v>
      </c>
      <c r="R331" s="114">
        <f t="shared" si="80"/>
        <v>0</v>
      </c>
      <c r="S331" s="114">
        <f t="shared" si="72"/>
        <v>0</v>
      </c>
      <c r="T331" s="114">
        <f t="shared" si="73"/>
        <v>1</v>
      </c>
      <c r="U331" s="114">
        <f t="shared" si="81"/>
        <v>90</v>
      </c>
      <c r="V331" s="114">
        <f t="shared" si="74"/>
        <v>90</v>
      </c>
    </row>
    <row r="332" spans="1:23" ht="60">
      <c r="A332" s="10" t="str">
        <f>Questions!$A332</f>
        <v>AILM-05</v>
      </c>
      <c r="B332" s="10" t="str">
        <f t="shared" si="75"/>
        <v>AILM</v>
      </c>
      <c r="C332" s="10" t="str">
        <f>VLOOKUP($A332,Questions!$A$3:$L$333,2,0)&amp;""</f>
        <v>Do you limit your solution's LLM resource use per request, per step, and per action?</v>
      </c>
      <c r="D332" s="10" t="str">
        <f>VLOOKUP($A332,Questions!$A$3:$L$333,11,0)&amp;""</f>
        <v/>
      </c>
      <c r="E332" s="10" t="str">
        <f>VLOOKUP($A332,Questions!$A$3:$L$333,12,0)&amp;""</f>
        <v>AI</v>
      </c>
      <c r="F332" s="10" t="str">
        <f>VLOOKUP($A332,'Institution Evaluation'!$A$56:$K$346,3,0)&amp;""</f>
        <v/>
      </c>
      <c r="G332" s="10" t="str">
        <f>VLOOKUP($A332,'Institution Evaluation'!$A$56:$K$346,7,0)&amp;""</f>
        <v>Yes</v>
      </c>
      <c r="H332" s="10" t="str">
        <f>VLOOKUP($A332,'Institution Evaluation'!$A$56:$K$346,8,0)&amp;""</f>
        <v/>
      </c>
      <c r="I332" s="10" t="str">
        <f>VLOOKUP($A332,'Institution Evaluation'!$A$56:$K$346,9,0)&amp;""</f>
        <v>Standard Importance</v>
      </c>
      <c r="J332" s="10" t="str">
        <f>VLOOKUP($A332,'Institution Evaluation'!$A$56:$K$346,10,0)&amp;""</f>
        <v/>
      </c>
      <c r="K332" s="10">
        <f t="shared" si="76"/>
        <v>10</v>
      </c>
      <c r="L332" s="114">
        <f>IF($E332="Not Scored", "N/A",IF(AND($D332='Auto Responses'!$J$27,$H332=""),"N/A",IF(AND($D332='Auto Responses'!$J$27,$H332='Auto Responses'!$J$7),1,IF(AND($D332='Auto Responses'!$J$27,$H332='Auto Responses'!$J$8),0,IF(OR($F332=$G332,$H332='Auto Responses'!$J$7),1,0)))))</f>
        <v>0</v>
      </c>
      <c r="M332" s="10" t="str">
        <f>VLOOKUP($A332,'Institution Evaluation'!$A$56:$K$346,10,0)&amp;""</f>
        <v/>
      </c>
      <c r="N332" s="10">
        <f t="shared" si="77"/>
        <v>0</v>
      </c>
      <c r="O332" s="114" t="str">
        <f t="shared" si="82"/>
        <v>N/A</v>
      </c>
      <c r="P332" s="114" t="str">
        <f t="shared" si="78"/>
        <v>N/A</v>
      </c>
      <c r="Q332" s="114">
        <f t="shared" si="71"/>
        <v>0</v>
      </c>
      <c r="R332" s="114">
        <f t="shared" si="80"/>
        <v>0</v>
      </c>
      <c r="S332" s="114">
        <f t="shared" si="72"/>
        <v>0</v>
      </c>
      <c r="T332" s="114">
        <f t="shared" si="73"/>
        <v>0</v>
      </c>
      <c r="U332" s="114">
        <f t="shared" si="81"/>
        <v>90</v>
      </c>
      <c r="V332" s="114">
        <f t="shared" si="74"/>
        <v>0</v>
      </c>
    </row>
    <row r="333" spans="1:23" ht="36" customHeight="1">
      <c r="A333" s="10" t="str">
        <f>Questions!$A333</f>
        <v>AILM-06</v>
      </c>
      <c r="B333" s="10" t="str">
        <f t="shared" si="75"/>
        <v>AILM</v>
      </c>
      <c r="C333" s="10" t="str">
        <f>VLOOKUP($A333,Questions!$A$3:$L$333,2,0)&amp;""</f>
        <v>Do you leverage LLM model tuning or other model validation mechanisms?</v>
      </c>
      <c r="D333" s="10" t="str">
        <f>VLOOKUP($A333,Questions!$A$3:$L$333,11,0)&amp;""</f>
        <v/>
      </c>
      <c r="E333" s="10" t="str">
        <f>VLOOKUP($A333,Questions!$A$3:$L$333,12,0)&amp;""</f>
        <v>AI</v>
      </c>
      <c r="F333" s="10" t="str">
        <f>VLOOKUP($A333,'Institution Evaluation'!$A$56:$K$346,3,0)&amp;""</f>
        <v/>
      </c>
      <c r="G333" s="10" t="str">
        <f>VLOOKUP($A333,'Institution Evaluation'!$A$56:$K$346,7,0)&amp;""</f>
        <v>Yes</v>
      </c>
      <c r="H333" s="10" t="str">
        <f>VLOOKUP($A333,'Institution Evaluation'!$A$56:$K$346,8,0)&amp;""</f>
        <v/>
      </c>
      <c r="I333" s="10" t="str">
        <f>VLOOKUP($A333,'Institution Evaluation'!$A$56:$K$346,9,0)&amp;""</f>
        <v>Standard Importance</v>
      </c>
      <c r="J333" s="10" t="str">
        <f>VLOOKUP($A333,'Institution Evaluation'!$A$56:$K$346,10,0)&amp;""</f>
        <v/>
      </c>
      <c r="K333" s="10">
        <f t="shared" si="76"/>
        <v>10</v>
      </c>
      <c r="L333" s="114">
        <f>IF($E333="Not Scored", "N/A",IF(AND($D333='Auto Responses'!$J$27,$H333=""),"N/A",IF(AND($D333='Auto Responses'!$J$27,$H333='Auto Responses'!$J$7),1,IF(AND($D333='Auto Responses'!$J$27,$H333='Auto Responses'!$J$8),0,IF(OR($F333=$G333,$H333='Auto Responses'!$J$7),1,0)))))</f>
        <v>0</v>
      </c>
      <c r="M333" s="10" t="str">
        <f>VLOOKUP($A333,'Institution Evaluation'!$A$56:$K$346,10,0)&amp;""</f>
        <v/>
      </c>
      <c r="N333" s="10">
        <f t="shared" si="77"/>
        <v>0</v>
      </c>
      <c r="O333" s="114" t="str">
        <f t="shared" si="82"/>
        <v>N/A</v>
      </c>
      <c r="P333" s="114" t="str">
        <f t="shared" si="78"/>
        <v>N/A</v>
      </c>
      <c r="Q333" s="114">
        <f t="shared" si="71"/>
        <v>0</v>
      </c>
      <c r="R333" s="114">
        <f t="shared" si="80"/>
        <v>0</v>
      </c>
      <c r="S333" s="114">
        <f t="shared" si="72"/>
        <v>0</v>
      </c>
      <c r="T333" s="114">
        <f t="shared" si="73"/>
        <v>0</v>
      </c>
      <c r="U333" s="114">
        <f t="shared" si="81"/>
        <v>90</v>
      </c>
      <c r="V333" s="114">
        <f t="shared" si="74"/>
        <v>0</v>
      </c>
      <c r="W333" s="256" t="s">
        <v>1531</v>
      </c>
    </row>
    <row r="334" spans="1:23" ht="17" thickBot="1">
      <c r="A334" s="9"/>
      <c r="B334" s="9"/>
      <c r="C334" s="9"/>
      <c r="D334" s="9"/>
      <c r="E334" s="9"/>
      <c r="F334" s="9"/>
      <c r="G334" s="9"/>
      <c r="H334" s="9"/>
      <c r="I334" s="9"/>
      <c r="J334" s="9"/>
      <c r="K334" s="9"/>
    </row>
    <row r="335" spans="1:23" ht="17" thickBot="1">
      <c r="A335" s="9"/>
      <c r="B335" s="9"/>
      <c r="C335" s="9"/>
      <c r="D335" s="9"/>
      <c r="E335" s="9"/>
      <c r="F335" s="9"/>
      <c r="G335" s="9"/>
      <c r="H335" s="9"/>
      <c r="I335" s="9"/>
      <c r="J335" s="9"/>
      <c r="K335" s="9"/>
      <c r="Q335" s="167">
        <f>SUM($Q3:$Q334)</f>
        <v>0</v>
      </c>
      <c r="R335" s="168"/>
      <c r="S335" s="168"/>
      <c r="T335" s="169">
        <f>SUM($T3:$T334)</f>
        <v>90</v>
      </c>
    </row>
    <row r="336" spans="1:23">
      <c r="A336" s="256" t="s">
        <v>1539</v>
      </c>
      <c r="B336" s="9"/>
      <c r="C336" s="9"/>
      <c r="D336" s="9"/>
      <c r="E336" s="9"/>
      <c r="F336" s="9"/>
      <c r="G336" s="9"/>
      <c r="H336" s="9"/>
      <c r="I336" s="9"/>
      <c r="J336" s="9"/>
      <c r="K336" s="9"/>
    </row>
    <row r="337" spans="1:11" hidden="1">
      <c r="A337" s="9"/>
      <c r="B337" s="9"/>
      <c r="C337" s="9"/>
      <c r="D337" s="9"/>
      <c r="E337" s="9"/>
      <c r="F337" s="9"/>
      <c r="G337" s="9"/>
      <c r="H337" s="9"/>
      <c r="I337" s="9"/>
      <c r="J337" s="9"/>
      <c r="K337" s="9"/>
    </row>
    <row r="338" spans="1:11" hidden="1">
      <c r="A338" s="9"/>
      <c r="B338" s="9"/>
      <c r="C338" s="9"/>
      <c r="D338" s="9"/>
      <c r="E338" s="9"/>
      <c r="F338" s="9"/>
      <c r="G338" s="9"/>
      <c r="H338" s="9"/>
      <c r="I338" s="9"/>
      <c r="J338" s="9"/>
      <c r="K338" s="9"/>
    </row>
    <row r="339" spans="1:11" hidden="1">
      <c r="A339" s="9"/>
      <c r="B339" s="9"/>
      <c r="C339" s="9"/>
      <c r="D339" s="9"/>
      <c r="E339" s="9"/>
      <c r="F339" s="9"/>
      <c r="G339" s="9"/>
      <c r="H339" s="9"/>
      <c r="I339" s="9"/>
      <c r="J339" s="9"/>
      <c r="K339" s="9"/>
    </row>
    <row r="340" spans="1:11" hidden="1">
      <c r="A340" s="9"/>
      <c r="B340" s="9"/>
      <c r="C340" s="9"/>
      <c r="D340" s="9"/>
      <c r="E340" s="9"/>
      <c r="F340" s="9"/>
      <c r="G340" s="9"/>
      <c r="H340" s="9"/>
      <c r="I340" s="9"/>
      <c r="J340" s="9"/>
      <c r="K340" s="9"/>
    </row>
    <row r="341" spans="1:11" hidden="1">
      <c r="A341" s="9"/>
      <c r="B341" s="9"/>
      <c r="C341" s="9"/>
      <c r="D341" s="9"/>
      <c r="E341" s="9"/>
      <c r="F341" s="9"/>
      <c r="G341" s="9"/>
      <c r="H341" s="9"/>
      <c r="I341" s="9"/>
      <c r="J341" s="9"/>
      <c r="K341" s="9"/>
    </row>
    <row r="342" spans="1:11" hidden="1">
      <c r="A342" s="9"/>
      <c r="B342" s="9"/>
      <c r="C342" s="9"/>
      <c r="D342" s="9"/>
      <c r="E342" s="9"/>
      <c r="F342" s="9"/>
      <c r="G342" s="9"/>
      <c r="H342" s="9"/>
      <c r="I342" s="9"/>
      <c r="J342" s="9"/>
      <c r="K342" s="9"/>
    </row>
    <row r="343" spans="1:11" hidden="1">
      <c r="A343" s="9"/>
      <c r="B343" s="9"/>
      <c r="C343" s="9"/>
      <c r="D343" s="9"/>
      <c r="E343" s="9"/>
      <c r="F343" s="9"/>
      <c r="G343" s="9"/>
      <c r="H343" s="9"/>
      <c r="I343" s="9"/>
      <c r="J343" s="9"/>
      <c r="K343" s="9"/>
    </row>
    <row r="344" spans="1:11" hidden="1">
      <c r="A344" s="9"/>
      <c r="B344" s="9"/>
      <c r="C344" s="9"/>
      <c r="D344" s="9"/>
      <c r="E344" s="9"/>
      <c r="F344" s="9"/>
      <c r="G344" s="9"/>
      <c r="H344" s="9"/>
      <c r="I344" s="9"/>
      <c r="J344" s="9"/>
      <c r="K344" s="9"/>
    </row>
    <row r="345" spans="1:11" hidden="1">
      <c r="A345" s="9"/>
      <c r="B345" s="9"/>
      <c r="C345" s="9"/>
      <c r="D345" s="9"/>
      <c r="E345" s="9"/>
      <c r="F345" s="9"/>
      <c r="G345" s="9"/>
      <c r="H345" s="9"/>
      <c r="I345" s="9"/>
      <c r="J345" s="9"/>
      <c r="K345" s="9"/>
    </row>
    <row r="346" spans="1:11" hidden="1">
      <c r="A346" s="9"/>
      <c r="B346" s="9"/>
      <c r="C346" s="9"/>
      <c r="D346" s="9"/>
      <c r="E346" s="9"/>
      <c r="F346" s="9"/>
      <c r="G346" s="9"/>
      <c r="H346" s="9"/>
      <c r="I346" s="9"/>
      <c r="J346" s="9"/>
      <c r="K346" s="9"/>
    </row>
    <row r="347" spans="1:11" hidden="1">
      <c r="A347" s="9"/>
      <c r="B347" s="9"/>
      <c r="C347" s="9"/>
      <c r="D347" s="9"/>
      <c r="E347" s="9"/>
      <c r="F347" s="9"/>
      <c r="G347" s="9"/>
      <c r="H347" s="9"/>
      <c r="I347" s="9"/>
      <c r="J347" s="9"/>
      <c r="K347" s="9"/>
    </row>
    <row r="348" spans="1:11" hidden="1">
      <c r="A348" s="9"/>
      <c r="B348" s="9"/>
      <c r="C348" s="9"/>
      <c r="D348" s="9"/>
      <c r="E348" s="9"/>
      <c r="F348" s="9"/>
      <c r="G348" s="9"/>
      <c r="H348" s="9"/>
      <c r="I348" s="9"/>
      <c r="J348" s="9"/>
      <c r="K348" s="9"/>
    </row>
    <row r="349" spans="1:11" hidden="1">
      <c r="A349" s="9"/>
      <c r="B349" s="9"/>
      <c r="C349" s="9"/>
      <c r="D349" s="9"/>
      <c r="E349" s="9"/>
      <c r="F349" s="9"/>
      <c r="G349" s="9"/>
      <c r="H349" s="9"/>
      <c r="I349" s="9"/>
      <c r="J349" s="9"/>
      <c r="K349" s="9"/>
    </row>
    <row r="350" spans="1:11" hidden="1">
      <c r="A350" s="9"/>
      <c r="B350" s="9"/>
      <c r="C350" s="9"/>
      <c r="D350" s="9"/>
      <c r="E350" s="9"/>
      <c r="F350" s="9"/>
      <c r="G350" s="9"/>
      <c r="H350" s="9"/>
      <c r="I350" s="9"/>
      <c r="J350" s="9"/>
      <c r="K350" s="9"/>
    </row>
    <row r="351" spans="1:11" hidden="1">
      <c r="A351" s="9"/>
      <c r="B351" s="9"/>
      <c r="C351" s="9"/>
      <c r="D351" s="9"/>
      <c r="E351" s="9"/>
      <c r="F351" s="9"/>
      <c r="G351" s="9"/>
      <c r="H351" s="9"/>
      <c r="I351" s="9"/>
      <c r="J351" s="9"/>
      <c r="K351" s="9"/>
    </row>
    <row r="352" spans="1:11" hidden="1">
      <c r="A352" s="9"/>
      <c r="B352" s="9"/>
      <c r="C352" s="9"/>
      <c r="D352" s="9"/>
      <c r="E352" s="9"/>
      <c r="F352" s="9"/>
      <c r="G352" s="9"/>
      <c r="H352" s="9"/>
      <c r="I352" s="9"/>
      <c r="J352" s="9"/>
      <c r="K352" s="9"/>
    </row>
    <row r="353" spans="1:11" hidden="1">
      <c r="A353" s="9"/>
      <c r="B353" s="9"/>
      <c r="C353" s="9"/>
      <c r="D353" s="9"/>
      <c r="E353" s="9"/>
      <c r="F353" s="9"/>
      <c r="G353" s="9"/>
      <c r="H353" s="9"/>
      <c r="I353" s="9"/>
      <c r="J353" s="9"/>
      <c r="K353" s="9"/>
    </row>
    <row r="354" spans="1:11" hidden="1">
      <c r="A354" s="9"/>
      <c r="B354" s="9"/>
      <c r="C354" s="9"/>
      <c r="D354" s="9"/>
      <c r="E354" s="9"/>
      <c r="F354" s="9"/>
      <c r="G354" s="9"/>
      <c r="H354" s="9"/>
      <c r="I354" s="9"/>
      <c r="J354" s="9"/>
      <c r="K354" s="9"/>
    </row>
    <row r="355" spans="1:11" hidden="1">
      <c r="A355" s="9"/>
      <c r="B355" s="9"/>
      <c r="C355" s="9"/>
      <c r="D355" s="9"/>
      <c r="E355" s="9"/>
      <c r="F355" s="9"/>
      <c r="G355" s="9"/>
      <c r="H355" s="9"/>
      <c r="I355" s="9"/>
      <c r="J355" s="9"/>
      <c r="K355" s="9"/>
    </row>
    <row r="356" spans="1:11" hidden="1">
      <c r="A356" s="9"/>
      <c r="B356" s="9"/>
      <c r="C356" s="9"/>
      <c r="D356" s="9"/>
      <c r="E356" s="9"/>
      <c r="F356" s="9"/>
      <c r="G356" s="9"/>
      <c r="H356" s="9"/>
      <c r="I356" s="9"/>
      <c r="J356" s="9"/>
      <c r="K356" s="9"/>
    </row>
    <row r="357" spans="1:11" hidden="1">
      <c r="A357" s="9"/>
      <c r="B357" s="9"/>
      <c r="C357" s="9"/>
      <c r="D357" s="9"/>
      <c r="E357" s="9"/>
      <c r="F357" s="9"/>
      <c r="G357" s="9"/>
      <c r="H357" s="9"/>
      <c r="I357" s="9"/>
      <c r="J357" s="9"/>
      <c r="K357" s="9"/>
    </row>
    <row r="358" spans="1:11" hidden="1">
      <c r="A358" s="9"/>
      <c r="B358" s="9"/>
      <c r="C358" s="9"/>
      <c r="D358" s="9"/>
      <c r="E358" s="9"/>
      <c r="F358" s="9"/>
      <c r="G358" s="9"/>
      <c r="H358" s="9"/>
      <c r="I358" s="9"/>
      <c r="J358" s="9"/>
      <c r="K358" s="9"/>
    </row>
    <row r="359" spans="1:11" hidden="1">
      <c r="A359" s="9"/>
      <c r="B359" s="9"/>
      <c r="C359" s="9"/>
      <c r="D359" s="9"/>
      <c r="E359" s="9"/>
      <c r="F359" s="9"/>
      <c r="G359" s="9"/>
      <c r="H359" s="9"/>
      <c r="I359" s="9"/>
      <c r="J359" s="9"/>
      <c r="K359" s="9"/>
    </row>
    <row r="360" spans="1:11" hidden="1">
      <c r="A360" s="9"/>
      <c r="B360" s="9"/>
      <c r="C360" s="9"/>
      <c r="D360" s="9"/>
      <c r="E360" s="9"/>
      <c r="F360" s="9"/>
      <c r="G360" s="9"/>
      <c r="H360" s="9"/>
      <c r="I360" s="9"/>
      <c r="J360" s="9"/>
      <c r="K360" s="9"/>
    </row>
    <row r="361" spans="1:11" hidden="1">
      <c r="A361" s="9"/>
      <c r="B361" s="9"/>
      <c r="C361" s="9"/>
      <c r="D361" s="9"/>
      <c r="E361" s="9"/>
      <c r="F361" s="9"/>
      <c r="G361" s="9"/>
      <c r="H361" s="9"/>
      <c r="I361" s="9"/>
      <c r="J361" s="9"/>
      <c r="K361" s="9"/>
    </row>
    <row r="362" spans="1:11" hidden="1">
      <c r="A362" s="9"/>
      <c r="B362" s="9"/>
      <c r="C362" s="9"/>
      <c r="D362" s="9"/>
      <c r="E362" s="9"/>
      <c r="F362" s="9"/>
      <c r="G362" s="9"/>
      <c r="H362" s="9"/>
      <c r="I362" s="9"/>
      <c r="J362" s="9"/>
      <c r="K362" s="9"/>
    </row>
    <row r="363" spans="1:11" hidden="1">
      <c r="A363" s="9"/>
      <c r="B363" s="9"/>
      <c r="C363" s="9"/>
      <c r="D363" s="9"/>
      <c r="E363" s="9"/>
      <c r="F363" s="9"/>
      <c r="G363" s="9"/>
      <c r="H363" s="9"/>
      <c r="I363" s="9"/>
      <c r="J363" s="9"/>
      <c r="K363" s="9"/>
    </row>
    <row r="364" spans="1:11" hidden="1">
      <c r="A364" s="9"/>
      <c r="B364" s="9"/>
      <c r="C364" s="9"/>
      <c r="D364" s="9"/>
      <c r="E364" s="9"/>
      <c r="F364" s="9"/>
      <c r="G364" s="9"/>
      <c r="H364" s="9"/>
      <c r="I364" s="9"/>
      <c r="J364" s="9"/>
      <c r="K364" s="9"/>
    </row>
    <row r="365" spans="1:11" hidden="1">
      <c r="A365" s="9"/>
      <c r="B365" s="9"/>
      <c r="C365" s="9"/>
      <c r="D365" s="9"/>
      <c r="E365" s="9"/>
      <c r="F365" s="9"/>
      <c r="G365" s="9"/>
      <c r="H365" s="9"/>
      <c r="I365" s="9"/>
      <c r="J365" s="9"/>
      <c r="K365" s="9"/>
    </row>
    <row r="366" spans="1:11" hidden="1">
      <c r="A366" s="9"/>
      <c r="B366" s="9"/>
      <c r="C366" s="9"/>
      <c r="D366" s="9"/>
      <c r="E366" s="9"/>
      <c r="F366" s="9"/>
      <c r="G366" s="9"/>
      <c r="H366" s="9"/>
      <c r="I366" s="9"/>
      <c r="J366" s="9"/>
      <c r="K366" s="9"/>
    </row>
    <row r="367" spans="1:11" hidden="1">
      <c r="A367" s="9"/>
      <c r="B367" s="9"/>
      <c r="C367" s="9"/>
      <c r="D367" s="9"/>
      <c r="E367" s="9"/>
      <c r="F367" s="9"/>
      <c r="G367" s="9"/>
      <c r="H367" s="9"/>
      <c r="I367" s="9"/>
      <c r="J367" s="9"/>
      <c r="K367" s="9"/>
    </row>
    <row r="368" spans="1:11" hidden="1">
      <c r="A368" s="9"/>
      <c r="B368" s="9"/>
      <c r="C368" s="9"/>
      <c r="D368" s="9"/>
      <c r="E368" s="9"/>
      <c r="F368" s="9"/>
      <c r="G368" s="9"/>
      <c r="H368" s="9"/>
      <c r="I368" s="9"/>
      <c r="J368" s="9"/>
      <c r="K368" s="9"/>
    </row>
    <row r="369" spans="1:11" hidden="1">
      <c r="A369" s="9"/>
      <c r="B369" s="9"/>
      <c r="C369" s="9"/>
      <c r="D369" s="9"/>
      <c r="E369" s="9"/>
      <c r="F369" s="9"/>
      <c r="G369" s="9"/>
      <c r="H369" s="9"/>
      <c r="I369" s="9"/>
      <c r="J369" s="9"/>
      <c r="K369" s="9"/>
    </row>
    <row r="370" spans="1:11" hidden="1">
      <c r="A370" s="9"/>
      <c r="B370" s="9"/>
      <c r="C370" s="9"/>
      <c r="D370" s="9"/>
      <c r="E370" s="9"/>
      <c r="F370" s="9"/>
      <c r="G370" s="9"/>
      <c r="H370" s="9"/>
      <c r="I370" s="9"/>
      <c r="J370" s="9"/>
      <c r="K370" s="9"/>
    </row>
    <row r="371" spans="1:11" hidden="1">
      <c r="A371" s="9"/>
      <c r="B371" s="9"/>
      <c r="C371" s="9"/>
      <c r="D371" s="9"/>
      <c r="E371" s="9"/>
      <c r="F371" s="9"/>
      <c r="G371" s="9"/>
      <c r="H371" s="9"/>
      <c r="I371" s="9"/>
      <c r="J371" s="9"/>
      <c r="K371" s="9"/>
    </row>
    <row r="372" spans="1:11" hidden="1">
      <c r="A372" s="9"/>
      <c r="B372" s="9"/>
      <c r="C372" s="9"/>
      <c r="D372" s="9"/>
      <c r="E372" s="9"/>
      <c r="F372" s="9"/>
      <c r="G372" s="9"/>
      <c r="H372" s="9"/>
      <c r="I372" s="9"/>
      <c r="J372" s="9"/>
      <c r="K372" s="9"/>
    </row>
    <row r="373" spans="1:11" hidden="1">
      <c r="A373" s="9"/>
      <c r="B373" s="9"/>
      <c r="C373" s="9"/>
      <c r="D373" s="9"/>
      <c r="E373" s="9"/>
      <c r="F373" s="9"/>
      <c r="G373" s="9"/>
      <c r="H373" s="9"/>
      <c r="I373" s="9"/>
      <c r="J373" s="9"/>
      <c r="K373" s="9"/>
    </row>
    <row r="374" spans="1:11" hidden="1">
      <c r="A374" s="9"/>
      <c r="B374" s="9"/>
      <c r="C374" s="9"/>
      <c r="D374" s="9"/>
      <c r="E374" s="9"/>
      <c r="F374" s="9"/>
      <c r="G374" s="9"/>
      <c r="H374" s="9"/>
      <c r="I374" s="9"/>
      <c r="J374" s="9"/>
      <c r="K374" s="9"/>
    </row>
    <row r="375" spans="1:11" hidden="1">
      <c r="A375" s="9"/>
      <c r="B375" s="9"/>
      <c r="C375" s="9"/>
      <c r="D375" s="9"/>
      <c r="E375" s="9"/>
      <c r="F375" s="9"/>
      <c r="G375" s="9"/>
      <c r="H375" s="9"/>
      <c r="I375" s="9"/>
      <c r="J375" s="9"/>
      <c r="K375" s="9"/>
    </row>
    <row r="376" spans="1:11" hidden="1">
      <c r="A376" s="9"/>
      <c r="B376" s="9"/>
      <c r="C376" s="9"/>
      <c r="D376" s="9"/>
      <c r="E376" s="9"/>
      <c r="F376" s="9"/>
      <c r="G376" s="9"/>
      <c r="H376" s="9"/>
      <c r="I376" s="9"/>
      <c r="J376" s="9"/>
      <c r="K376" s="9"/>
    </row>
    <row r="377" spans="1:11" hidden="1">
      <c r="A377" s="9"/>
      <c r="B377" s="9"/>
      <c r="C377" s="9"/>
      <c r="D377" s="9"/>
      <c r="E377" s="9"/>
      <c r="F377" s="9"/>
      <c r="G377" s="9"/>
      <c r="H377" s="9"/>
      <c r="I377" s="9"/>
      <c r="J377" s="9"/>
      <c r="K377" s="9"/>
    </row>
    <row r="378" spans="1:11" hidden="1">
      <c r="A378" s="9"/>
      <c r="B378" s="9"/>
      <c r="C378" s="9"/>
      <c r="D378" s="9"/>
      <c r="E378" s="9"/>
      <c r="F378" s="9"/>
      <c r="G378" s="9"/>
      <c r="H378" s="9"/>
      <c r="I378" s="9"/>
      <c r="J378" s="9"/>
      <c r="K378" s="9"/>
    </row>
    <row r="379" spans="1:11" hidden="1">
      <c r="A379" s="9"/>
      <c r="B379" s="9"/>
      <c r="C379" s="9"/>
      <c r="D379" s="9"/>
      <c r="E379" s="9"/>
      <c r="F379" s="9"/>
      <c r="G379" s="9"/>
      <c r="H379" s="9"/>
      <c r="I379" s="9"/>
      <c r="J379" s="9"/>
      <c r="K379" s="9"/>
    </row>
    <row r="380" spans="1:11" hidden="1">
      <c r="A380" s="9"/>
      <c r="B380" s="9"/>
      <c r="C380" s="9"/>
      <c r="D380" s="9"/>
      <c r="E380" s="9"/>
      <c r="F380" s="9"/>
      <c r="G380" s="9"/>
      <c r="H380" s="9"/>
      <c r="I380" s="9"/>
      <c r="J380" s="9"/>
      <c r="K380" s="9"/>
    </row>
    <row r="381" spans="1:11" hidden="1">
      <c r="A381" s="9"/>
      <c r="B381" s="9"/>
      <c r="C381" s="9"/>
      <c r="D381" s="9"/>
      <c r="E381" s="9"/>
      <c r="F381" s="9"/>
      <c r="G381" s="9"/>
      <c r="H381" s="9"/>
      <c r="I381" s="9"/>
      <c r="J381" s="9"/>
      <c r="K381" s="9"/>
    </row>
    <row r="382" spans="1:11" hidden="1">
      <c r="A382" s="9"/>
      <c r="B382" s="9"/>
      <c r="C382" s="9"/>
      <c r="D382" s="9"/>
      <c r="E382" s="9"/>
      <c r="F382" s="9"/>
      <c r="G382" s="9"/>
      <c r="H382" s="9"/>
      <c r="I382" s="9"/>
      <c r="J382" s="9"/>
      <c r="K382" s="9"/>
    </row>
    <row r="383" spans="1:11" hidden="1">
      <c r="A383" s="9"/>
      <c r="B383" s="9"/>
      <c r="C383" s="9"/>
      <c r="D383" s="9"/>
      <c r="E383" s="9"/>
      <c r="F383" s="9"/>
      <c r="G383" s="9"/>
      <c r="H383" s="9"/>
      <c r="I383" s="9"/>
      <c r="J383" s="9"/>
      <c r="K383" s="9"/>
    </row>
    <row r="384" spans="1:11" hidden="1">
      <c r="A384" s="9"/>
      <c r="B384" s="9"/>
      <c r="C384" s="9"/>
      <c r="D384" s="9"/>
      <c r="E384" s="9"/>
      <c r="F384" s="9"/>
      <c r="G384" s="9"/>
      <c r="H384" s="9"/>
      <c r="I384" s="9"/>
      <c r="J384" s="9"/>
      <c r="K384" s="9"/>
    </row>
    <row r="385" spans="1:11" hidden="1">
      <c r="A385" s="9"/>
      <c r="B385" s="9"/>
      <c r="C385" s="9"/>
      <c r="D385" s="9"/>
      <c r="E385" s="9"/>
      <c r="F385" s="9"/>
      <c r="G385" s="9"/>
      <c r="H385" s="9"/>
      <c r="I385" s="9"/>
      <c r="J385" s="9"/>
      <c r="K385" s="9"/>
    </row>
    <row r="386" spans="1:11" hidden="1">
      <c r="A386" s="9"/>
      <c r="B386" s="9"/>
      <c r="C386" s="9"/>
      <c r="D386" s="9"/>
      <c r="E386" s="9"/>
      <c r="F386" s="9"/>
      <c r="G386" s="9"/>
      <c r="H386" s="9"/>
      <c r="I386" s="9"/>
      <c r="J386" s="9"/>
      <c r="K386" s="9"/>
    </row>
    <row r="387" spans="1:11" hidden="1">
      <c r="A387" s="9"/>
      <c r="B387" s="9"/>
      <c r="C387" s="9"/>
      <c r="D387" s="9"/>
      <c r="E387" s="9"/>
      <c r="F387" s="9"/>
      <c r="G387" s="9"/>
      <c r="H387" s="9"/>
      <c r="I387" s="9"/>
      <c r="J387" s="9"/>
      <c r="K387" s="9"/>
    </row>
    <row r="388" spans="1:11" hidden="1">
      <c r="A388" s="9"/>
      <c r="B388" s="9"/>
      <c r="C388" s="9"/>
      <c r="D388" s="9"/>
      <c r="E388" s="9"/>
      <c r="F388" s="9"/>
      <c r="G388" s="9"/>
      <c r="H388" s="9"/>
      <c r="I388" s="9"/>
      <c r="J388" s="9"/>
      <c r="K388" s="9"/>
    </row>
    <row r="389" spans="1:11" hidden="1">
      <c r="A389" s="9"/>
      <c r="B389" s="9"/>
      <c r="C389" s="9"/>
      <c r="D389" s="9"/>
      <c r="E389" s="9"/>
      <c r="F389" s="9"/>
      <c r="G389" s="9"/>
      <c r="H389" s="9"/>
      <c r="I389" s="9"/>
      <c r="J389" s="9"/>
      <c r="K389" s="9"/>
    </row>
    <row r="390" spans="1:11" hidden="1">
      <c r="A390" s="9"/>
      <c r="B390" s="9"/>
      <c r="C390" s="9"/>
      <c r="D390" s="9"/>
      <c r="E390" s="9"/>
      <c r="F390" s="9"/>
      <c r="G390" s="9"/>
      <c r="H390" s="9"/>
      <c r="I390" s="9"/>
      <c r="J390" s="9"/>
      <c r="K390" s="9"/>
    </row>
    <row r="391" spans="1:11" hidden="1">
      <c r="A391" s="9"/>
      <c r="B391" s="9"/>
      <c r="C391" s="9"/>
      <c r="D391" s="9"/>
      <c r="E391" s="9"/>
      <c r="F391" s="9"/>
      <c r="G391" s="9"/>
      <c r="H391" s="9"/>
      <c r="I391" s="9"/>
      <c r="J391" s="9"/>
      <c r="K391" s="9"/>
    </row>
    <row r="392" spans="1:11" hidden="1">
      <c r="A392" s="9"/>
      <c r="B392" s="9"/>
      <c r="C392" s="9"/>
      <c r="D392" s="9"/>
      <c r="E392" s="9"/>
      <c r="F392" s="9"/>
      <c r="G392" s="9"/>
      <c r="H392" s="9"/>
      <c r="I392" s="9"/>
      <c r="J392" s="9"/>
      <c r="K392" s="9"/>
    </row>
    <row r="393" spans="1:11" hidden="1">
      <c r="A393" s="9"/>
      <c r="B393" s="9"/>
      <c r="C393" s="9"/>
      <c r="D393" s="9"/>
      <c r="E393" s="9"/>
      <c r="F393" s="9"/>
      <c r="G393" s="9"/>
      <c r="H393" s="9"/>
      <c r="I393" s="9"/>
      <c r="J393" s="9"/>
      <c r="K393" s="9"/>
    </row>
    <row r="394" spans="1:11" hidden="1">
      <c r="A394" s="9"/>
      <c r="B394" s="9"/>
      <c r="C394" s="9"/>
      <c r="D394" s="9"/>
      <c r="E394" s="9"/>
      <c r="F394" s="9"/>
      <c r="G394" s="9"/>
      <c r="H394" s="9"/>
      <c r="I394" s="9"/>
      <c r="J394" s="9"/>
      <c r="K394" s="9"/>
    </row>
    <row r="395" spans="1:11" hidden="1">
      <c r="A395" s="9"/>
      <c r="B395" s="9"/>
      <c r="C395" s="9"/>
      <c r="D395" s="9"/>
      <c r="E395" s="9"/>
      <c r="F395" s="9"/>
      <c r="G395" s="9"/>
      <c r="H395" s="9"/>
      <c r="I395" s="9"/>
      <c r="J395" s="9"/>
      <c r="K395" s="9"/>
    </row>
    <row r="396" spans="1:11" hidden="1">
      <c r="A396" s="9"/>
      <c r="B396" s="9"/>
      <c r="C396" s="9"/>
      <c r="D396" s="9"/>
      <c r="E396" s="9"/>
      <c r="F396" s="9"/>
      <c r="G396" s="9"/>
      <c r="H396" s="9"/>
      <c r="I396" s="9"/>
      <c r="J396" s="9"/>
      <c r="K396" s="9"/>
    </row>
    <row r="397" spans="1:11" hidden="1">
      <c r="A397" s="9"/>
      <c r="B397" s="9"/>
      <c r="C397" s="9"/>
      <c r="D397" s="9"/>
      <c r="E397" s="9"/>
      <c r="F397" s="9"/>
      <c r="G397" s="9"/>
      <c r="H397" s="9"/>
      <c r="I397" s="9"/>
      <c r="J397" s="9"/>
      <c r="K397" s="9"/>
    </row>
    <row r="398" spans="1:11" hidden="1">
      <c r="A398" s="9"/>
      <c r="B398" s="9"/>
      <c r="C398" s="9"/>
      <c r="D398" s="9"/>
      <c r="E398" s="9"/>
      <c r="F398" s="9"/>
      <c r="G398" s="9"/>
      <c r="H398" s="9"/>
      <c r="I398" s="9"/>
      <c r="J398" s="9"/>
      <c r="K398" s="9"/>
    </row>
    <row r="399" spans="1:11" hidden="1">
      <c r="A399" s="9"/>
      <c r="B399" s="9"/>
      <c r="C399" s="9"/>
      <c r="D399" s="9"/>
      <c r="E399" s="9"/>
      <c r="F399" s="9"/>
      <c r="G399" s="9"/>
      <c r="H399" s="9"/>
      <c r="I399" s="9"/>
      <c r="J399" s="9"/>
      <c r="K399" s="9"/>
    </row>
    <row r="400" spans="1:11" hidden="1">
      <c r="A400" s="9"/>
      <c r="B400" s="9"/>
      <c r="C400" s="9"/>
      <c r="D400" s="9"/>
      <c r="E400" s="9"/>
      <c r="F400" s="9"/>
      <c r="G400" s="9"/>
      <c r="H400" s="9"/>
      <c r="I400" s="9"/>
      <c r="J400" s="9"/>
      <c r="K400" s="9"/>
    </row>
    <row r="401" spans="1:11" hidden="1">
      <c r="A401" s="9"/>
      <c r="B401" s="9"/>
      <c r="C401" s="9"/>
      <c r="D401" s="9"/>
      <c r="E401" s="9"/>
      <c r="F401" s="9"/>
      <c r="G401" s="9"/>
      <c r="H401" s="9"/>
      <c r="I401" s="9"/>
      <c r="J401" s="9"/>
      <c r="K401" s="9"/>
    </row>
    <row r="402" spans="1:11" hidden="1">
      <c r="A402" s="9"/>
      <c r="B402" s="9"/>
      <c r="C402" s="9"/>
      <c r="D402" s="9"/>
      <c r="E402" s="9"/>
      <c r="F402" s="9"/>
      <c r="G402" s="9"/>
      <c r="H402" s="9"/>
      <c r="I402" s="9"/>
      <c r="J402" s="9"/>
      <c r="K402" s="9"/>
    </row>
    <row r="403" spans="1:11" hidden="1">
      <c r="A403" s="9"/>
      <c r="B403" s="9"/>
      <c r="C403" s="9"/>
      <c r="D403" s="9"/>
      <c r="E403" s="9"/>
      <c r="F403" s="9"/>
      <c r="G403" s="9"/>
      <c r="H403" s="9"/>
      <c r="I403" s="9"/>
      <c r="J403" s="9"/>
      <c r="K403" s="9"/>
    </row>
    <row r="404" spans="1:11" hidden="1">
      <c r="A404" s="9"/>
      <c r="B404" s="9"/>
      <c r="C404" s="9"/>
      <c r="D404" s="9"/>
      <c r="E404" s="9"/>
      <c r="F404" s="9"/>
      <c r="G404" s="9"/>
      <c r="H404" s="9"/>
      <c r="I404" s="9"/>
      <c r="J404" s="9"/>
      <c r="K404" s="9"/>
    </row>
    <row r="405" spans="1:11" hidden="1">
      <c r="A405" s="9"/>
      <c r="B405" s="9"/>
      <c r="C405" s="9"/>
      <c r="D405" s="9"/>
      <c r="E405" s="9"/>
      <c r="F405" s="9"/>
      <c r="G405" s="9"/>
      <c r="H405" s="9"/>
      <c r="I405" s="9"/>
      <c r="J405" s="9"/>
      <c r="K405" s="9"/>
    </row>
    <row r="406" spans="1:11" hidden="1">
      <c r="A406" s="9"/>
      <c r="B406" s="9"/>
      <c r="C406" s="9"/>
      <c r="D406" s="9"/>
      <c r="E406" s="9"/>
      <c r="F406" s="9"/>
      <c r="G406" s="9"/>
      <c r="H406" s="9"/>
      <c r="I406" s="9"/>
      <c r="J406" s="9"/>
      <c r="K406" s="9"/>
    </row>
    <row r="407" spans="1:11" hidden="1">
      <c r="A407" s="9"/>
      <c r="B407" s="9"/>
      <c r="C407" s="9"/>
      <c r="D407" s="9"/>
      <c r="E407" s="9"/>
      <c r="F407" s="9"/>
      <c r="G407" s="9"/>
      <c r="H407" s="9"/>
      <c r="I407" s="9"/>
      <c r="J407" s="9"/>
      <c r="K407" s="9"/>
    </row>
    <row r="408" spans="1:11" hidden="1">
      <c r="A408" s="9"/>
      <c r="B408" s="9"/>
      <c r="C408" s="9"/>
      <c r="D408" s="9"/>
      <c r="E408" s="9"/>
      <c r="F408" s="9"/>
      <c r="G408" s="9"/>
      <c r="H408" s="9"/>
      <c r="I408" s="9"/>
      <c r="J408" s="9"/>
      <c r="K408" s="9"/>
    </row>
    <row r="409" spans="1:11" hidden="1">
      <c r="A409" s="9"/>
      <c r="B409" s="9"/>
      <c r="C409" s="9"/>
      <c r="D409" s="9"/>
      <c r="E409" s="9"/>
      <c r="F409" s="9"/>
      <c r="G409" s="9"/>
      <c r="H409" s="9"/>
      <c r="I409" s="9"/>
      <c r="J409" s="9"/>
      <c r="K409" s="9"/>
    </row>
    <row r="410" spans="1:11" hidden="1">
      <c r="A410" s="9"/>
      <c r="B410" s="9"/>
      <c r="C410" s="9"/>
      <c r="D410" s="9"/>
      <c r="E410" s="9"/>
      <c r="F410" s="9"/>
      <c r="G410" s="9"/>
      <c r="H410" s="9"/>
      <c r="I410" s="9"/>
      <c r="J410" s="9"/>
      <c r="K410" s="9"/>
    </row>
    <row r="411" spans="1:11" hidden="1">
      <c r="A411" s="9"/>
      <c r="B411" s="9"/>
      <c r="C411" s="9"/>
      <c r="D411" s="9"/>
      <c r="E411" s="9"/>
      <c r="F411" s="9"/>
      <c r="G411" s="9"/>
      <c r="H411" s="9"/>
      <c r="I411" s="9"/>
      <c r="J411" s="9"/>
      <c r="K411" s="9"/>
    </row>
    <row r="412" spans="1:11" hidden="1">
      <c r="A412" s="9"/>
      <c r="B412" s="9"/>
      <c r="C412" s="9"/>
      <c r="D412" s="9"/>
      <c r="E412" s="9"/>
      <c r="F412" s="9"/>
      <c r="G412" s="9"/>
      <c r="H412" s="9"/>
      <c r="I412" s="9"/>
      <c r="J412" s="9"/>
      <c r="K412" s="9"/>
    </row>
    <row r="413" spans="1:11" hidden="1">
      <c r="A413" s="9"/>
      <c r="B413" s="9"/>
      <c r="C413" s="9"/>
      <c r="D413" s="9"/>
      <c r="E413" s="9"/>
      <c r="F413" s="9"/>
      <c r="G413" s="9"/>
      <c r="H413" s="9"/>
      <c r="I413" s="9"/>
      <c r="J413" s="9"/>
      <c r="K413" s="9"/>
    </row>
    <row r="414" spans="1:11" hidden="1">
      <c r="A414" s="9"/>
      <c r="B414" s="9"/>
      <c r="C414" s="9"/>
      <c r="D414" s="9"/>
      <c r="E414" s="9"/>
      <c r="F414" s="9"/>
      <c r="G414" s="9"/>
      <c r="H414" s="9"/>
      <c r="I414" s="9"/>
      <c r="J414" s="9"/>
      <c r="K414" s="9"/>
    </row>
    <row r="415" spans="1:11" hidden="1">
      <c r="A415" s="9"/>
      <c r="B415" s="9"/>
      <c r="C415" s="9"/>
      <c r="D415" s="9"/>
      <c r="E415" s="9"/>
      <c r="F415" s="9"/>
      <c r="G415" s="9"/>
      <c r="H415" s="9"/>
      <c r="I415" s="9"/>
      <c r="J415" s="9"/>
      <c r="K415" s="9"/>
    </row>
    <row r="416" spans="1:11" hidden="1">
      <c r="A416" s="9"/>
      <c r="B416" s="9"/>
      <c r="C416" s="9"/>
      <c r="D416" s="9"/>
      <c r="E416" s="9"/>
      <c r="F416" s="9"/>
      <c r="G416" s="9"/>
      <c r="H416" s="9"/>
      <c r="I416" s="9"/>
      <c r="J416" s="9"/>
      <c r="K416" s="9"/>
    </row>
    <row r="417" spans="1:11" hidden="1">
      <c r="A417" s="9"/>
      <c r="B417" s="9"/>
      <c r="C417" s="9"/>
      <c r="D417" s="9"/>
      <c r="E417" s="9"/>
      <c r="F417" s="9"/>
      <c r="G417" s="9"/>
      <c r="H417" s="9"/>
      <c r="I417" s="9"/>
      <c r="J417" s="9"/>
      <c r="K417" s="9"/>
    </row>
    <row r="418" spans="1:11" hidden="1">
      <c r="A418" s="9"/>
      <c r="B418" s="9"/>
      <c r="C418" s="9"/>
      <c r="D418" s="9"/>
      <c r="E418" s="9"/>
      <c r="F418" s="9"/>
      <c r="G418" s="9"/>
      <c r="H418" s="9"/>
      <c r="I418" s="9"/>
      <c r="J418" s="9"/>
      <c r="K418" s="9"/>
    </row>
    <row r="419" spans="1:11" hidden="1">
      <c r="A419" s="9"/>
      <c r="B419" s="9"/>
      <c r="C419" s="9"/>
      <c r="D419" s="9"/>
      <c r="E419" s="9"/>
      <c r="F419" s="9"/>
      <c r="G419" s="9"/>
      <c r="H419" s="9"/>
      <c r="I419" s="9"/>
      <c r="J419" s="9"/>
      <c r="K419" s="9"/>
    </row>
    <row r="420" spans="1:11" hidden="1">
      <c r="A420" s="9"/>
      <c r="B420" s="9"/>
      <c r="C420" s="9"/>
      <c r="D420" s="9"/>
      <c r="E420" s="9"/>
      <c r="F420" s="9"/>
      <c r="G420" s="9"/>
      <c r="H420" s="9"/>
      <c r="I420" s="9"/>
      <c r="J420" s="9"/>
      <c r="K420" s="9"/>
    </row>
    <row r="421" spans="1:11" hidden="1">
      <c r="A421" s="9"/>
      <c r="B421" s="9"/>
      <c r="C421" s="9"/>
      <c r="D421" s="9"/>
      <c r="E421" s="9"/>
      <c r="F421" s="9"/>
      <c r="G421" s="9"/>
      <c r="H421" s="9"/>
      <c r="I421" s="9"/>
      <c r="J421" s="9"/>
      <c r="K421" s="9"/>
    </row>
    <row r="422" spans="1:11" hidden="1">
      <c r="A422" s="9"/>
      <c r="B422" s="9"/>
      <c r="C422" s="9"/>
      <c r="D422" s="9"/>
      <c r="E422" s="9"/>
      <c r="F422" s="9"/>
      <c r="G422" s="9"/>
      <c r="H422" s="9"/>
      <c r="I422" s="9"/>
      <c r="J422" s="9"/>
      <c r="K422" s="9"/>
    </row>
    <row r="423" spans="1:11" hidden="1">
      <c r="A423" s="9"/>
      <c r="B423" s="9"/>
      <c r="C423" s="9"/>
      <c r="D423" s="9"/>
      <c r="E423" s="9"/>
      <c r="F423" s="9"/>
      <c r="G423" s="9"/>
      <c r="H423" s="9"/>
      <c r="I423" s="9"/>
      <c r="J423" s="9"/>
      <c r="K423" s="9"/>
    </row>
    <row r="424" spans="1:11" hidden="1">
      <c r="A424" s="9"/>
      <c r="B424" s="9"/>
      <c r="C424" s="9"/>
      <c r="D424" s="9"/>
      <c r="E424" s="9"/>
      <c r="F424" s="9"/>
      <c r="G424" s="9"/>
      <c r="H424" s="9"/>
      <c r="I424" s="9"/>
      <c r="J424" s="9"/>
      <c r="K424" s="9"/>
    </row>
    <row r="425" spans="1:11" hidden="1">
      <c r="A425" s="9"/>
      <c r="B425" s="9"/>
      <c r="C425" s="9"/>
      <c r="D425" s="9"/>
      <c r="E425" s="9"/>
      <c r="F425" s="9"/>
      <c r="G425" s="9"/>
      <c r="H425" s="9"/>
      <c r="I425" s="9"/>
      <c r="J425" s="9"/>
      <c r="K425" s="9"/>
    </row>
    <row r="426" spans="1:11" hidden="1">
      <c r="A426" s="9"/>
      <c r="B426" s="9"/>
      <c r="C426" s="9"/>
      <c r="D426" s="9"/>
      <c r="E426" s="9"/>
      <c r="F426" s="9"/>
      <c r="G426" s="9"/>
      <c r="H426" s="9"/>
      <c r="I426" s="9"/>
      <c r="J426" s="9"/>
      <c r="K426" s="9"/>
    </row>
    <row r="427" spans="1:11" hidden="1">
      <c r="A427" s="9"/>
      <c r="B427" s="9"/>
      <c r="C427" s="9"/>
      <c r="D427" s="9"/>
      <c r="E427" s="9"/>
      <c r="F427" s="9"/>
      <c r="G427" s="9"/>
      <c r="H427" s="9"/>
      <c r="I427" s="9"/>
      <c r="J427" s="9"/>
      <c r="K427" s="9"/>
    </row>
    <row r="428" spans="1:11" hidden="1">
      <c r="A428" s="9"/>
      <c r="B428" s="9"/>
      <c r="C428" s="9"/>
      <c r="D428" s="9"/>
      <c r="E428" s="9"/>
      <c r="F428" s="9"/>
      <c r="G428" s="9"/>
      <c r="H428" s="9"/>
      <c r="I428" s="9"/>
      <c r="J428" s="9"/>
      <c r="K428" s="9"/>
    </row>
    <row r="429" spans="1:11" hidden="1">
      <c r="A429" s="9"/>
      <c r="B429" s="9"/>
      <c r="C429" s="9"/>
      <c r="D429" s="9"/>
      <c r="E429" s="9"/>
      <c r="F429" s="9"/>
      <c r="G429" s="9"/>
      <c r="H429" s="9"/>
      <c r="I429" s="9"/>
      <c r="J429" s="9"/>
      <c r="K429" s="9"/>
    </row>
    <row r="430" spans="1:11" hidden="1">
      <c r="A430" s="9"/>
      <c r="B430" s="9"/>
      <c r="C430" s="9"/>
      <c r="D430" s="9"/>
      <c r="E430" s="9"/>
      <c r="F430" s="9"/>
      <c r="G430" s="9"/>
      <c r="H430" s="9"/>
      <c r="I430" s="9"/>
      <c r="J430" s="9"/>
      <c r="K430" s="9"/>
    </row>
    <row r="431" spans="1:11" hidden="1">
      <c r="A431" s="9"/>
      <c r="B431" s="9"/>
      <c r="C431" s="9"/>
      <c r="D431" s="9"/>
      <c r="E431" s="9"/>
      <c r="F431" s="9"/>
      <c r="G431" s="9"/>
      <c r="H431" s="9"/>
      <c r="I431" s="9"/>
      <c r="J431" s="9"/>
      <c r="K431" s="9"/>
    </row>
    <row r="432" spans="1:11" hidden="1">
      <c r="A432" s="9"/>
      <c r="B432" s="9"/>
      <c r="C432" s="9"/>
      <c r="D432" s="9"/>
      <c r="E432" s="9"/>
      <c r="F432" s="9"/>
      <c r="G432" s="9"/>
      <c r="H432" s="9"/>
      <c r="I432" s="9"/>
      <c r="J432" s="9"/>
      <c r="K432" s="9"/>
    </row>
    <row r="433" spans="1:11" hidden="1">
      <c r="A433" s="9"/>
      <c r="B433" s="9"/>
      <c r="C433" s="9"/>
      <c r="D433" s="9"/>
      <c r="E433" s="9"/>
      <c r="F433" s="9"/>
      <c r="G433" s="9"/>
      <c r="H433" s="9"/>
      <c r="I433" s="9"/>
      <c r="J433" s="9"/>
      <c r="K433" s="9"/>
    </row>
    <row r="434" spans="1:11" hidden="1">
      <c r="A434" s="9"/>
      <c r="B434" s="9"/>
      <c r="C434" s="9"/>
      <c r="D434" s="9"/>
      <c r="E434" s="9"/>
      <c r="F434" s="9"/>
      <c r="G434" s="9"/>
      <c r="H434" s="9"/>
      <c r="I434" s="9"/>
      <c r="J434" s="9"/>
      <c r="K434" s="9"/>
    </row>
    <row r="435" spans="1:11" hidden="1">
      <c r="A435" s="9"/>
      <c r="B435" s="9"/>
      <c r="C435" s="9"/>
      <c r="D435" s="9"/>
      <c r="E435" s="9"/>
      <c r="F435" s="9"/>
      <c r="G435" s="9"/>
      <c r="H435" s="9"/>
      <c r="I435" s="9"/>
      <c r="J435" s="9"/>
      <c r="K435" s="9"/>
    </row>
    <row r="436" spans="1:11" hidden="1">
      <c r="A436" s="9"/>
      <c r="B436" s="9"/>
      <c r="C436" s="9"/>
      <c r="D436" s="9"/>
      <c r="E436" s="9"/>
      <c r="F436" s="9"/>
      <c r="G436" s="9"/>
      <c r="H436" s="9"/>
      <c r="I436" s="9"/>
      <c r="J436" s="9"/>
      <c r="K436" s="9"/>
    </row>
    <row r="437" spans="1:11" hidden="1">
      <c r="A437" s="9"/>
      <c r="B437" s="9"/>
      <c r="C437" s="9"/>
      <c r="D437" s="9"/>
      <c r="E437" s="9"/>
      <c r="F437" s="9"/>
      <c r="G437" s="9"/>
      <c r="H437" s="9"/>
      <c r="I437" s="9"/>
      <c r="J437" s="9"/>
      <c r="K437" s="9"/>
    </row>
    <row r="438" spans="1:11" hidden="1">
      <c r="A438" s="9"/>
      <c r="B438" s="9"/>
      <c r="C438" s="9"/>
      <c r="D438" s="9"/>
      <c r="E438" s="9"/>
      <c r="F438" s="9"/>
      <c r="G438" s="9"/>
      <c r="H438" s="9"/>
      <c r="I438" s="9"/>
      <c r="J438" s="9"/>
      <c r="K438" s="9"/>
    </row>
    <row r="439" spans="1:11" hidden="1">
      <c r="A439" s="9"/>
      <c r="B439" s="9"/>
      <c r="C439" s="9"/>
      <c r="D439" s="9"/>
      <c r="E439" s="9"/>
      <c r="F439" s="9"/>
      <c r="G439" s="9"/>
      <c r="H439" s="9"/>
      <c r="I439" s="9"/>
      <c r="J439" s="9"/>
      <c r="K439" s="9"/>
    </row>
    <row r="440" spans="1:11" hidden="1">
      <c r="A440" s="9"/>
      <c r="B440" s="9"/>
      <c r="C440" s="9"/>
      <c r="D440" s="9"/>
      <c r="E440" s="9"/>
      <c r="F440" s="9"/>
      <c r="G440" s="9"/>
      <c r="H440" s="9"/>
      <c r="I440" s="9"/>
      <c r="J440" s="9"/>
      <c r="K440" s="9"/>
    </row>
    <row r="441" spans="1:11" hidden="1">
      <c r="A441" s="9"/>
      <c r="B441" s="9"/>
      <c r="C441" s="9"/>
      <c r="D441" s="9"/>
      <c r="E441" s="9"/>
      <c r="F441" s="9"/>
      <c r="G441" s="9"/>
      <c r="H441" s="9"/>
      <c r="I441" s="9"/>
      <c r="J441" s="9"/>
      <c r="K441" s="9"/>
    </row>
    <row r="442" spans="1:11" hidden="1">
      <c r="A442" s="9"/>
      <c r="B442" s="9"/>
      <c r="C442" s="9"/>
      <c r="D442" s="9"/>
      <c r="E442" s="9"/>
      <c r="F442" s="9"/>
      <c r="G442" s="9"/>
      <c r="H442" s="9"/>
      <c r="I442" s="9"/>
      <c r="J442" s="9"/>
      <c r="K442" s="9"/>
    </row>
    <row r="443" spans="1:11" hidden="1">
      <c r="A443" s="9"/>
      <c r="B443" s="9"/>
      <c r="C443" s="9"/>
      <c r="D443" s="9"/>
      <c r="E443" s="9"/>
      <c r="F443" s="9"/>
      <c r="G443" s="9"/>
      <c r="H443" s="9"/>
      <c r="I443" s="9"/>
      <c r="J443" s="9"/>
      <c r="K443" s="9"/>
    </row>
    <row r="444" spans="1:11" hidden="1">
      <c r="A444" s="9"/>
      <c r="B444" s="9"/>
      <c r="C444" s="9"/>
      <c r="D444" s="9"/>
      <c r="E444" s="9"/>
      <c r="F444" s="9"/>
      <c r="G444" s="9"/>
      <c r="H444" s="9"/>
      <c r="I444" s="9"/>
      <c r="J444" s="9"/>
      <c r="K444" s="9"/>
    </row>
    <row r="445" spans="1:11" hidden="1">
      <c r="A445" s="9"/>
      <c r="B445" s="9"/>
      <c r="C445" s="9"/>
      <c r="D445" s="9"/>
      <c r="E445" s="9"/>
      <c r="F445" s="9"/>
      <c r="G445" s="9"/>
      <c r="H445" s="9"/>
      <c r="I445" s="9"/>
      <c r="J445" s="9"/>
      <c r="K445" s="9"/>
    </row>
    <row r="446" spans="1:11" hidden="1">
      <c r="A446" s="9"/>
      <c r="B446" s="9"/>
      <c r="C446" s="9"/>
      <c r="D446" s="9"/>
      <c r="E446" s="9"/>
      <c r="F446" s="9"/>
      <c r="G446" s="9"/>
      <c r="H446" s="9"/>
      <c r="I446" s="9"/>
      <c r="J446" s="9"/>
      <c r="K446" s="9"/>
    </row>
    <row r="447" spans="1:11" hidden="1">
      <c r="A447" s="9"/>
      <c r="B447" s="9"/>
      <c r="C447" s="9"/>
      <c r="D447" s="9"/>
      <c r="E447" s="9"/>
      <c r="F447" s="9"/>
      <c r="G447" s="9"/>
      <c r="H447" s="9"/>
      <c r="I447" s="9"/>
      <c r="J447" s="9"/>
      <c r="K447" s="9"/>
    </row>
    <row r="448" spans="1:11" hidden="1">
      <c r="A448" s="9"/>
      <c r="B448" s="9"/>
      <c r="C448" s="9"/>
      <c r="D448" s="9"/>
      <c r="E448" s="9"/>
      <c r="F448" s="9"/>
      <c r="G448" s="9"/>
      <c r="H448" s="9"/>
      <c r="I448" s="9"/>
      <c r="J448" s="9"/>
      <c r="K448" s="9"/>
    </row>
    <row r="449" spans="1:11" hidden="1">
      <c r="A449" s="9"/>
      <c r="B449" s="9"/>
      <c r="C449" s="9"/>
      <c r="D449" s="9"/>
      <c r="E449" s="9"/>
      <c r="F449" s="9"/>
      <c r="G449" s="9"/>
      <c r="H449" s="9"/>
      <c r="I449" s="9"/>
      <c r="J449" s="9"/>
      <c r="K449" s="9"/>
    </row>
    <row r="450" spans="1:11" hidden="1">
      <c r="A450" s="9"/>
      <c r="B450" s="9"/>
      <c r="C450" s="9"/>
      <c r="D450" s="9"/>
      <c r="E450" s="9"/>
      <c r="F450" s="9"/>
      <c r="G450" s="9"/>
      <c r="H450" s="9"/>
      <c r="I450" s="9"/>
      <c r="J450" s="9"/>
      <c r="K450" s="9"/>
    </row>
    <row r="451" spans="1:11" hidden="1">
      <c r="A451" s="9"/>
      <c r="B451" s="9"/>
      <c r="C451" s="9"/>
      <c r="D451" s="9"/>
      <c r="E451" s="9"/>
      <c r="F451" s="9"/>
      <c r="G451" s="9"/>
      <c r="H451" s="9"/>
      <c r="I451" s="9"/>
      <c r="J451" s="9"/>
      <c r="K451" s="9"/>
    </row>
    <row r="452" spans="1:11" hidden="1">
      <c r="A452" s="9"/>
      <c r="B452" s="9"/>
      <c r="C452" s="9"/>
      <c r="D452" s="9"/>
      <c r="E452" s="9"/>
      <c r="F452" s="9"/>
      <c r="G452" s="9"/>
      <c r="H452" s="9"/>
      <c r="I452" s="9"/>
      <c r="J452" s="9"/>
      <c r="K452" s="9"/>
    </row>
    <row r="453" spans="1:11" hidden="1">
      <c r="A453" s="9"/>
      <c r="B453" s="9"/>
      <c r="C453" s="9"/>
      <c r="D453" s="9"/>
      <c r="E453" s="9"/>
      <c r="F453" s="9"/>
      <c r="G453" s="9"/>
      <c r="H453" s="9"/>
      <c r="I453" s="9"/>
      <c r="J453" s="9"/>
      <c r="K453" s="9"/>
    </row>
    <row r="454" spans="1:11" hidden="1">
      <c r="A454" s="9"/>
      <c r="B454" s="9"/>
      <c r="C454" s="9"/>
      <c r="D454" s="9"/>
      <c r="E454" s="9"/>
      <c r="F454" s="9"/>
      <c r="G454" s="9"/>
      <c r="H454" s="9"/>
      <c r="I454" s="9"/>
      <c r="J454" s="9"/>
      <c r="K454" s="9"/>
    </row>
    <row r="455" spans="1:11" hidden="1">
      <c r="A455" s="9"/>
      <c r="B455" s="9"/>
      <c r="C455" s="9"/>
      <c r="D455" s="9"/>
      <c r="E455" s="9"/>
      <c r="F455" s="9"/>
      <c r="G455" s="9"/>
      <c r="H455" s="9"/>
      <c r="I455" s="9"/>
      <c r="J455" s="9"/>
      <c r="K455" s="9"/>
    </row>
    <row r="456" spans="1:11" hidden="1">
      <c r="A456" s="9"/>
      <c r="B456" s="9"/>
      <c r="C456" s="9"/>
      <c r="D456" s="9"/>
      <c r="E456" s="9"/>
      <c r="F456" s="9"/>
      <c r="G456" s="9"/>
      <c r="H456" s="9"/>
      <c r="I456" s="9"/>
      <c r="J456" s="9"/>
      <c r="K456" s="9"/>
    </row>
    <row r="457" spans="1:11" hidden="1">
      <c r="A457" s="9"/>
      <c r="B457" s="9"/>
      <c r="C457" s="9"/>
      <c r="D457" s="9"/>
      <c r="E457" s="9"/>
      <c r="F457" s="9"/>
      <c r="G457" s="9"/>
      <c r="H457" s="9"/>
      <c r="I457" s="9"/>
      <c r="J457" s="9"/>
      <c r="K457" s="9"/>
    </row>
    <row r="458" spans="1:11" hidden="1">
      <c r="A458" s="9"/>
      <c r="B458" s="9"/>
      <c r="C458" s="9"/>
      <c r="D458" s="9"/>
      <c r="E458" s="9"/>
      <c r="F458" s="9"/>
      <c r="G458" s="9"/>
      <c r="H458" s="9"/>
      <c r="I458" s="9"/>
      <c r="J458" s="9"/>
      <c r="K458" s="9"/>
    </row>
    <row r="459" spans="1:11" hidden="1">
      <c r="A459" s="9"/>
      <c r="B459" s="9"/>
      <c r="C459" s="9"/>
      <c r="D459" s="9"/>
      <c r="E459" s="9"/>
      <c r="F459" s="9"/>
      <c r="G459" s="9"/>
      <c r="H459" s="9"/>
      <c r="I459" s="9"/>
      <c r="J459" s="9"/>
      <c r="K459" s="9"/>
    </row>
    <row r="460" spans="1:11" hidden="1">
      <c r="A460" s="9"/>
      <c r="B460" s="9"/>
      <c r="C460" s="9"/>
      <c r="D460" s="9"/>
      <c r="E460" s="9"/>
      <c r="F460" s="9"/>
      <c r="G460" s="9"/>
      <c r="H460" s="9"/>
      <c r="I460" s="9"/>
      <c r="J460" s="9"/>
      <c r="K460" s="9"/>
    </row>
    <row r="461" spans="1:11" hidden="1">
      <c r="A461" s="9"/>
      <c r="B461" s="9"/>
      <c r="C461" s="9"/>
      <c r="D461" s="9"/>
      <c r="E461" s="9"/>
      <c r="F461" s="9"/>
      <c r="G461" s="9"/>
      <c r="H461" s="9"/>
      <c r="I461" s="9"/>
      <c r="J461" s="9"/>
      <c r="K461" s="9"/>
    </row>
    <row r="462" spans="1:11" hidden="1">
      <c r="A462" s="9"/>
      <c r="B462" s="9"/>
      <c r="C462" s="9"/>
      <c r="D462" s="9"/>
      <c r="E462" s="9"/>
      <c r="F462" s="9"/>
      <c r="G462" s="9"/>
      <c r="H462" s="9"/>
      <c r="I462" s="9"/>
      <c r="J462" s="9"/>
      <c r="K462" s="9"/>
    </row>
    <row r="463" spans="1:11" hidden="1">
      <c r="A463" s="9"/>
      <c r="B463" s="9"/>
      <c r="C463" s="9"/>
      <c r="D463" s="9"/>
      <c r="E463" s="9"/>
      <c r="F463" s="9"/>
      <c r="G463" s="9"/>
      <c r="H463" s="9"/>
      <c r="I463" s="9"/>
      <c r="J463" s="9"/>
      <c r="K463" s="9"/>
    </row>
    <row r="464" spans="1:11" hidden="1">
      <c r="A464" s="9"/>
      <c r="B464" s="9"/>
      <c r="C464" s="9"/>
      <c r="D464" s="9"/>
      <c r="E464" s="9"/>
      <c r="F464" s="9"/>
      <c r="G464" s="9"/>
      <c r="H464" s="9"/>
      <c r="I464" s="9"/>
      <c r="J464" s="9"/>
      <c r="K464" s="9"/>
    </row>
    <row r="465" spans="1:11" hidden="1">
      <c r="A465" s="9"/>
      <c r="B465" s="9"/>
      <c r="C465" s="9"/>
      <c r="D465" s="9"/>
      <c r="E465" s="9"/>
      <c r="F465" s="9"/>
      <c r="G465" s="9"/>
      <c r="H465" s="9"/>
      <c r="I465" s="9"/>
      <c r="J465" s="9"/>
      <c r="K465" s="9"/>
    </row>
    <row r="466" spans="1:11" hidden="1">
      <c r="A466" s="9"/>
      <c r="B466" s="9"/>
      <c r="C466" s="9"/>
      <c r="D466" s="9"/>
      <c r="E466" s="9"/>
      <c r="F466" s="9"/>
      <c r="G466" s="9"/>
      <c r="H466" s="9"/>
      <c r="I466" s="9"/>
      <c r="J466" s="9"/>
      <c r="K466" s="9"/>
    </row>
    <row r="467" spans="1:11" hidden="1">
      <c r="A467" s="9"/>
      <c r="B467" s="9"/>
      <c r="C467" s="9"/>
      <c r="D467" s="9"/>
      <c r="E467" s="9"/>
      <c r="F467" s="9"/>
      <c r="G467" s="9"/>
      <c r="H467" s="9"/>
      <c r="I467" s="9"/>
      <c r="J467" s="9"/>
      <c r="K467" s="9"/>
    </row>
    <row r="468" spans="1:11" hidden="1">
      <c r="A468" s="9"/>
      <c r="B468" s="9"/>
      <c r="C468" s="9"/>
      <c r="D468" s="9"/>
      <c r="E468" s="9"/>
      <c r="F468" s="9"/>
      <c r="G468" s="9"/>
      <c r="H468" s="9"/>
      <c r="I468" s="9"/>
      <c r="J468" s="9"/>
      <c r="K468" s="9"/>
    </row>
    <row r="469" spans="1:11" hidden="1">
      <c r="A469" s="9"/>
      <c r="B469" s="9"/>
      <c r="C469" s="9"/>
      <c r="D469" s="9"/>
      <c r="E469" s="9"/>
      <c r="F469" s="9"/>
      <c r="G469" s="9"/>
      <c r="H469" s="9"/>
      <c r="I469" s="9"/>
      <c r="J469" s="9"/>
      <c r="K469" s="9"/>
    </row>
    <row r="470" spans="1:11" hidden="1">
      <c r="A470" s="9"/>
      <c r="B470" s="9"/>
      <c r="C470" s="9"/>
      <c r="D470" s="9"/>
      <c r="E470" s="9"/>
      <c r="F470" s="9"/>
      <c r="G470" s="9"/>
      <c r="H470" s="9"/>
      <c r="I470" s="9"/>
      <c r="J470" s="9"/>
      <c r="K470" s="9"/>
    </row>
    <row r="471" spans="1:11" hidden="1">
      <c r="A471" s="9"/>
      <c r="B471" s="9"/>
      <c r="C471" s="9"/>
      <c r="D471" s="9"/>
      <c r="E471" s="9"/>
      <c r="F471" s="9"/>
      <c r="G471" s="9"/>
      <c r="H471" s="9"/>
      <c r="I471" s="9"/>
      <c r="J471" s="9"/>
      <c r="K471" s="9"/>
    </row>
    <row r="472" spans="1:11" hidden="1">
      <c r="A472" s="9"/>
      <c r="B472" s="9"/>
      <c r="C472" s="9"/>
      <c r="D472" s="9"/>
      <c r="E472" s="9"/>
      <c r="F472" s="9"/>
      <c r="G472" s="9"/>
      <c r="H472" s="9"/>
      <c r="I472" s="9"/>
      <c r="J472" s="9"/>
      <c r="K472" s="9"/>
    </row>
    <row r="473" spans="1:11" hidden="1">
      <c r="A473" s="9"/>
      <c r="B473" s="9"/>
      <c r="C473" s="9"/>
      <c r="D473" s="9"/>
      <c r="E473" s="9"/>
      <c r="F473" s="9"/>
      <c r="G473" s="9"/>
      <c r="H473" s="9"/>
      <c r="I473" s="9"/>
      <c r="J473" s="9"/>
      <c r="K473" s="9"/>
    </row>
    <row r="474" spans="1:11" hidden="1">
      <c r="A474" s="9"/>
      <c r="B474" s="9"/>
      <c r="C474" s="9"/>
      <c r="D474" s="9"/>
      <c r="E474" s="9"/>
      <c r="F474" s="9"/>
      <c r="G474" s="9"/>
      <c r="H474" s="9"/>
      <c r="I474" s="9"/>
      <c r="J474" s="9"/>
      <c r="K474" s="9"/>
    </row>
    <row r="475" spans="1:11" hidden="1">
      <c r="A475" s="9"/>
      <c r="B475" s="9"/>
      <c r="C475" s="9"/>
      <c r="D475" s="9"/>
      <c r="E475" s="9"/>
      <c r="F475" s="9"/>
      <c r="G475" s="9"/>
      <c r="H475" s="9"/>
      <c r="I475" s="9"/>
      <c r="J475" s="9"/>
      <c r="K475" s="9"/>
    </row>
    <row r="476" spans="1:11" hidden="1">
      <c r="A476" s="9"/>
      <c r="B476" s="9"/>
      <c r="C476" s="9"/>
      <c r="D476" s="9"/>
      <c r="E476" s="9"/>
      <c r="F476" s="9"/>
      <c r="G476" s="9"/>
      <c r="H476" s="9"/>
      <c r="I476" s="9"/>
      <c r="J476" s="9"/>
      <c r="K476" s="9"/>
    </row>
    <row r="477" spans="1:11" hidden="1">
      <c r="A477" s="9"/>
      <c r="B477" s="9"/>
      <c r="C477" s="9"/>
      <c r="D477" s="9"/>
      <c r="E477" s="9"/>
      <c r="F477" s="9"/>
      <c r="G477" s="9"/>
      <c r="H477" s="9"/>
      <c r="I477" s="9"/>
      <c r="J477" s="9"/>
      <c r="K477" s="9"/>
    </row>
    <row r="478" spans="1:11" hidden="1">
      <c r="A478" s="9"/>
      <c r="B478" s="9"/>
      <c r="C478" s="9"/>
      <c r="D478" s="9"/>
      <c r="E478" s="9"/>
      <c r="F478" s="9"/>
      <c r="G478" s="9"/>
      <c r="H478" s="9"/>
      <c r="I478" s="9"/>
      <c r="J478" s="9"/>
      <c r="K478" s="9"/>
    </row>
    <row r="479" spans="1:11" hidden="1">
      <c r="A479" s="9"/>
      <c r="B479" s="9"/>
      <c r="C479" s="9"/>
      <c r="D479" s="9"/>
      <c r="E479" s="9"/>
      <c r="F479" s="9"/>
      <c r="G479" s="9"/>
      <c r="H479" s="9"/>
      <c r="I479" s="9"/>
      <c r="J479" s="9"/>
      <c r="K479" s="9"/>
    </row>
    <row r="480" spans="1:11" hidden="1">
      <c r="A480" s="9"/>
      <c r="B480" s="9"/>
      <c r="C480" s="9"/>
      <c r="D480" s="9"/>
      <c r="E480" s="9"/>
      <c r="F480" s="9"/>
      <c r="G480" s="9"/>
      <c r="H480" s="9"/>
      <c r="I480" s="9"/>
      <c r="J480" s="9"/>
      <c r="K480" s="9"/>
    </row>
    <row r="481" spans="1:11" hidden="1">
      <c r="A481" s="9"/>
      <c r="B481" s="9"/>
      <c r="C481" s="9"/>
      <c r="D481" s="9"/>
      <c r="E481" s="9"/>
      <c r="F481" s="9"/>
      <c r="G481" s="9"/>
      <c r="H481" s="9"/>
      <c r="I481" s="9"/>
      <c r="J481" s="9"/>
      <c r="K481" s="9"/>
    </row>
    <row r="482" spans="1:11" hidden="1">
      <c r="A482" s="9"/>
      <c r="B482" s="9"/>
      <c r="C482" s="9"/>
      <c r="D482" s="9"/>
      <c r="E482" s="9"/>
      <c r="F482" s="9"/>
      <c r="G482" s="9"/>
      <c r="H482" s="9"/>
      <c r="I482" s="9"/>
      <c r="J482" s="9"/>
      <c r="K482" s="9"/>
    </row>
    <row r="483" spans="1:11" hidden="1">
      <c r="A483" s="9"/>
      <c r="B483" s="9"/>
      <c r="C483" s="9"/>
      <c r="D483" s="9"/>
      <c r="E483" s="9"/>
      <c r="F483" s="9"/>
      <c r="G483" s="9"/>
      <c r="H483" s="9"/>
      <c r="I483" s="9"/>
      <c r="J483" s="9"/>
      <c r="K483" s="9"/>
    </row>
    <row r="484" spans="1:11" hidden="1">
      <c r="A484" s="9"/>
      <c r="B484" s="9"/>
      <c r="C484" s="9"/>
      <c r="D484" s="9"/>
      <c r="E484" s="9"/>
      <c r="F484" s="9"/>
      <c r="G484" s="9"/>
      <c r="H484" s="9"/>
      <c r="I484" s="9"/>
      <c r="J484" s="9"/>
      <c r="K484" s="9"/>
    </row>
    <row r="485" spans="1:11" hidden="1">
      <c r="A485" s="9"/>
      <c r="B485" s="9"/>
      <c r="C485" s="9"/>
      <c r="D485" s="9"/>
      <c r="E485" s="9"/>
      <c r="F485" s="9"/>
      <c r="G485" s="9"/>
      <c r="H485" s="9"/>
      <c r="I485" s="9"/>
      <c r="J485" s="9"/>
      <c r="K485" s="9"/>
    </row>
    <row r="486" spans="1:11" hidden="1">
      <c r="A486" s="9"/>
      <c r="B486" s="9"/>
      <c r="C486" s="9"/>
      <c r="D486" s="9"/>
      <c r="E486" s="9"/>
      <c r="F486" s="9"/>
      <c r="G486" s="9"/>
      <c r="H486" s="9"/>
      <c r="I486" s="9"/>
      <c r="J486" s="9"/>
      <c r="K486" s="9"/>
    </row>
    <row r="487" spans="1:11" hidden="1">
      <c r="A487" s="9"/>
      <c r="B487" s="9"/>
      <c r="C487" s="9"/>
      <c r="D487" s="9"/>
      <c r="E487" s="9"/>
      <c r="F487" s="9"/>
      <c r="G487" s="9"/>
      <c r="H487" s="9"/>
      <c r="I487" s="9"/>
      <c r="J487" s="9"/>
      <c r="K487" s="9"/>
    </row>
    <row r="488" spans="1:11" hidden="1">
      <c r="A488" s="9"/>
      <c r="B488" s="9"/>
      <c r="C488" s="9"/>
      <c r="D488" s="9"/>
      <c r="E488" s="9"/>
      <c r="F488" s="9"/>
      <c r="G488" s="9"/>
      <c r="H488" s="9"/>
      <c r="I488" s="9"/>
      <c r="J488" s="9"/>
      <c r="K488" s="9"/>
    </row>
    <row r="489" spans="1:11" hidden="1">
      <c r="A489" s="9"/>
      <c r="B489" s="9"/>
      <c r="C489" s="9"/>
      <c r="D489" s="9"/>
      <c r="E489" s="9"/>
      <c r="F489" s="9"/>
      <c r="G489" s="9"/>
      <c r="H489" s="9"/>
      <c r="I489" s="9"/>
      <c r="J489" s="9"/>
      <c r="K489" s="9"/>
    </row>
    <row r="490" spans="1:11" hidden="1">
      <c r="A490" s="9"/>
      <c r="B490" s="9"/>
      <c r="C490" s="9"/>
      <c r="D490" s="9"/>
      <c r="E490" s="9"/>
      <c r="F490" s="9"/>
      <c r="G490" s="9"/>
      <c r="H490" s="9"/>
      <c r="I490" s="9"/>
      <c r="J490" s="9"/>
      <c r="K490" s="9"/>
    </row>
    <row r="491" spans="1:11" hidden="1">
      <c r="A491" s="9"/>
      <c r="B491" s="9"/>
      <c r="C491" s="9"/>
      <c r="D491" s="9"/>
      <c r="E491" s="9"/>
      <c r="F491" s="9"/>
      <c r="G491" s="9"/>
      <c r="H491" s="9"/>
      <c r="I491" s="9"/>
      <c r="J491" s="9"/>
      <c r="K491" s="9"/>
    </row>
    <row r="492" spans="1:11" hidden="1">
      <c r="A492" s="9"/>
      <c r="B492" s="9"/>
      <c r="C492" s="9"/>
      <c r="D492" s="9"/>
      <c r="E492" s="9"/>
      <c r="F492" s="9"/>
      <c r="G492" s="9"/>
      <c r="H492" s="9"/>
      <c r="I492" s="9"/>
      <c r="J492" s="9"/>
      <c r="K492" s="9"/>
    </row>
    <row r="493" spans="1:11" hidden="1">
      <c r="A493" s="9"/>
      <c r="B493" s="9"/>
      <c r="C493" s="9"/>
      <c r="D493" s="9"/>
      <c r="E493" s="9"/>
      <c r="F493" s="9"/>
      <c r="G493" s="9"/>
      <c r="H493" s="9"/>
      <c r="I493" s="9"/>
      <c r="J493" s="9"/>
      <c r="K493" s="9"/>
    </row>
    <row r="494" spans="1:11" hidden="1">
      <c r="A494" s="9"/>
      <c r="B494" s="9"/>
      <c r="C494" s="9"/>
      <c r="D494" s="9"/>
      <c r="E494" s="9"/>
      <c r="F494" s="9"/>
      <c r="G494" s="9"/>
      <c r="H494" s="9"/>
      <c r="I494" s="9"/>
      <c r="J494" s="9"/>
      <c r="K494" s="9"/>
    </row>
    <row r="495" spans="1:11" hidden="1">
      <c r="A495" s="9"/>
      <c r="B495" s="9"/>
      <c r="C495" s="9"/>
      <c r="D495" s="9"/>
      <c r="E495" s="9"/>
      <c r="F495" s="9"/>
      <c r="G495" s="9"/>
      <c r="H495" s="9"/>
      <c r="I495" s="9"/>
      <c r="J495" s="9"/>
      <c r="K495" s="9"/>
    </row>
    <row r="496" spans="1:11" hidden="1">
      <c r="A496" s="9"/>
      <c r="B496" s="9"/>
      <c r="C496" s="9"/>
      <c r="D496" s="9"/>
      <c r="E496" s="9"/>
      <c r="F496" s="9"/>
      <c r="G496" s="9"/>
      <c r="H496" s="9"/>
      <c r="I496" s="9"/>
      <c r="J496" s="9"/>
      <c r="K496" s="9"/>
    </row>
    <row r="497" spans="1:11" hidden="1">
      <c r="A497" s="9"/>
      <c r="B497" s="9"/>
      <c r="C497" s="9"/>
      <c r="D497" s="9"/>
      <c r="E497" s="9"/>
      <c r="F497" s="9"/>
      <c r="G497" s="9"/>
      <c r="H497" s="9"/>
      <c r="I497" s="9"/>
      <c r="J497" s="9"/>
      <c r="K497" s="9"/>
    </row>
    <row r="498" spans="1:11" hidden="1">
      <c r="A498" s="9"/>
      <c r="B498" s="9"/>
      <c r="C498" s="9"/>
      <c r="D498" s="9"/>
      <c r="E498" s="9"/>
      <c r="F498" s="9"/>
      <c r="G498" s="9"/>
      <c r="H498" s="9"/>
      <c r="I498" s="9"/>
      <c r="J498" s="9"/>
      <c r="K498" s="9"/>
    </row>
    <row r="499" spans="1:11" hidden="1">
      <c r="A499" s="9"/>
      <c r="B499" s="9"/>
      <c r="C499" s="9"/>
      <c r="D499" s="9"/>
      <c r="E499" s="9"/>
      <c r="F499" s="9"/>
      <c r="G499" s="9"/>
      <c r="H499" s="9"/>
      <c r="I499" s="9"/>
      <c r="J499" s="9"/>
      <c r="K499" s="9"/>
    </row>
    <row r="500" spans="1:11" hidden="1">
      <c r="A500" s="9"/>
      <c r="B500" s="9"/>
      <c r="C500" s="9"/>
      <c r="D500" s="9"/>
      <c r="E500" s="9"/>
      <c r="F500" s="9"/>
      <c r="G500" s="9"/>
      <c r="H500" s="9"/>
      <c r="I500" s="9"/>
      <c r="J500" s="9"/>
      <c r="K500" s="9"/>
    </row>
    <row r="501" spans="1:11" hidden="1">
      <c r="A501" s="9"/>
      <c r="B501" s="9"/>
      <c r="C501" s="9"/>
      <c r="D501" s="9"/>
      <c r="E501" s="9"/>
      <c r="F501" s="9"/>
      <c r="G501" s="9"/>
      <c r="H501" s="9"/>
      <c r="I501" s="9"/>
      <c r="J501" s="9"/>
      <c r="K501" s="9"/>
    </row>
    <row r="502" spans="1:11" hidden="1">
      <c r="A502" s="9"/>
      <c r="B502" s="9"/>
      <c r="C502" s="9"/>
      <c r="D502" s="9"/>
      <c r="E502" s="9"/>
      <c r="F502" s="9"/>
      <c r="G502" s="9"/>
      <c r="H502" s="9"/>
      <c r="I502" s="9"/>
      <c r="J502" s="9"/>
      <c r="K502" s="9"/>
    </row>
    <row r="503" spans="1:11" hidden="1">
      <c r="A503" s="9"/>
      <c r="B503" s="9"/>
      <c r="C503" s="9"/>
      <c r="D503" s="9"/>
      <c r="E503" s="9"/>
      <c r="F503" s="9"/>
      <c r="G503" s="9"/>
      <c r="H503" s="9"/>
      <c r="I503" s="9"/>
      <c r="J503" s="9"/>
      <c r="K503" s="9"/>
    </row>
    <row r="504" spans="1:11" hidden="1">
      <c r="A504" s="9"/>
      <c r="B504" s="9"/>
      <c r="C504" s="9"/>
      <c r="D504" s="9"/>
      <c r="E504" s="9"/>
      <c r="F504" s="9"/>
      <c r="G504" s="9"/>
      <c r="H504" s="9"/>
      <c r="I504" s="9"/>
      <c r="J504" s="9"/>
      <c r="K504" s="9"/>
    </row>
    <row r="505" spans="1:11" hidden="1">
      <c r="A505" s="9"/>
      <c r="B505" s="9"/>
      <c r="C505" s="9"/>
      <c r="D505" s="9"/>
      <c r="E505" s="9"/>
      <c r="F505" s="9"/>
      <c r="G505" s="9"/>
      <c r="H505" s="9"/>
      <c r="I505" s="9"/>
      <c r="J505" s="9"/>
      <c r="K505" s="9"/>
    </row>
    <row r="506" spans="1:11" hidden="1">
      <c r="A506" s="9"/>
      <c r="B506" s="9"/>
      <c r="C506" s="9"/>
      <c r="D506" s="9"/>
      <c r="E506" s="9"/>
      <c r="F506" s="9"/>
      <c r="G506" s="9"/>
      <c r="H506" s="9"/>
      <c r="I506" s="9"/>
      <c r="J506" s="9"/>
      <c r="K506" s="9"/>
    </row>
    <row r="507" spans="1:11" hidden="1">
      <c r="A507" s="9"/>
      <c r="B507" s="9"/>
      <c r="C507" s="9"/>
      <c r="D507" s="9"/>
      <c r="E507" s="9"/>
      <c r="F507" s="9"/>
      <c r="G507" s="9"/>
      <c r="H507" s="9"/>
      <c r="I507" s="9"/>
      <c r="J507" s="9"/>
      <c r="K507" s="9"/>
    </row>
    <row r="508" spans="1:11" hidden="1">
      <c r="A508" s="9"/>
      <c r="B508" s="9"/>
      <c r="C508" s="9"/>
      <c r="D508" s="9"/>
      <c r="E508" s="9"/>
      <c r="F508" s="9"/>
      <c r="G508" s="9"/>
      <c r="H508" s="9"/>
      <c r="I508" s="9"/>
      <c r="J508" s="9"/>
      <c r="K508" s="9"/>
    </row>
    <row r="509" spans="1:11" hidden="1">
      <c r="A509" s="9"/>
      <c r="B509" s="9"/>
      <c r="C509" s="9"/>
      <c r="D509" s="9"/>
      <c r="E509" s="9"/>
      <c r="F509" s="9"/>
      <c r="G509" s="9"/>
      <c r="H509" s="9"/>
      <c r="I509" s="9"/>
      <c r="J509" s="9"/>
      <c r="K509" s="9"/>
    </row>
    <row r="510" spans="1:11" hidden="1">
      <c r="A510" s="9"/>
      <c r="B510" s="9"/>
      <c r="C510" s="9"/>
      <c r="D510" s="9"/>
      <c r="E510" s="9"/>
      <c r="F510" s="9"/>
      <c r="G510" s="9"/>
      <c r="H510" s="9"/>
      <c r="I510" s="9"/>
      <c r="J510" s="9"/>
      <c r="K510" s="9"/>
    </row>
    <row r="511" spans="1:11" hidden="1">
      <c r="A511" s="9"/>
      <c r="B511" s="9"/>
      <c r="C511" s="9"/>
      <c r="D511" s="9"/>
      <c r="E511" s="9"/>
      <c r="F511" s="9"/>
      <c r="G511" s="9"/>
      <c r="H511" s="9"/>
      <c r="I511" s="9"/>
      <c r="J511" s="9"/>
      <c r="K511" s="9"/>
    </row>
    <row r="512" spans="1:11" hidden="1">
      <c r="A512" s="9"/>
      <c r="B512" s="9"/>
      <c r="C512" s="9"/>
      <c r="D512" s="9"/>
      <c r="E512" s="9"/>
      <c r="F512" s="9"/>
      <c r="G512" s="9"/>
      <c r="H512" s="9"/>
      <c r="I512" s="9"/>
      <c r="J512" s="9"/>
      <c r="K512" s="9"/>
    </row>
    <row r="513" spans="1:11" hidden="1">
      <c r="A513" s="9"/>
      <c r="B513" s="9"/>
      <c r="C513" s="9"/>
      <c r="D513" s="9"/>
      <c r="E513" s="9"/>
      <c r="F513" s="9"/>
      <c r="G513" s="9"/>
      <c r="H513" s="9"/>
      <c r="I513" s="9"/>
      <c r="J513" s="9"/>
      <c r="K513" s="9"/>
    </row>
    <row r="514" spans="1:11" hidden="1">
      <c r="A514" s="9"/>
      <c r="B514" s="9"/>
      <c r="C514" s="9"/>
      <c r="D514" s="9"/>
      <c r="E514" s="9"/>
      <c r="F514" s="9"/>
      <c r="G514" s="9"/>
      <c r="H514" s="9"/>
      <c r="I514" s="9"/>
      <c r="J514" s="9"/>
      <c r="K514" s="9"/>
    </row>
    <row r="515" spans="1:11" hidden="1">
      <c r="A515" s="9"/>
      <c r="B515" s="9"/>
      <c r="C515" s="9"/>
      <c r="D515" s="9"/>
      <c r="E515" s="9"/>
      <c r="F515" s="9"/>
      <c r="G515" s="9"/>
      <c r="H515" s="9"/>
      <c r="I515" s="9"/>
      <c r="J515" s="9"/>
      <c r="K515" s="9"/>
    </row>
    <row r="516" spans="1:11" hidden="1">
      <c r="A516" s="9"/>
      <c r="B516" s="9"/>
      <c r="C516" s="9"/>
      <c r="D516" s="9"/>
      <c r="E516" s="9"/>
      <c r="F516" s="9"/>
      <c r="G516" s="9"/>
      <c r="H516" s="9"/>
      <c r="I516" s="9"/>
      <c r="J516" s="9"/>
      <c r="K516" s="9"/>
    </row>
    <row r="517" spans="1:11" hidden="1">
      <c r="A517" s="9"/>
      <c r="B517" s="9"/>
      <c r="C517" s="9"/>
      <c r="D517" s="9"/>
      <c r="E517" s="9"/>
      <c r="F517" s="9"/>
      <c r="G517" s="9"/>
      <c r="H517" s="9"/>
      <c r="I517" s="9"/>
      <c r="J517" s="9"/>
      <c r="K517" s="9"/>
    </row>
    <row r="518" spans="1:11" hidden="1">
      <c r="A518" s="9"/>
      <c r="B518" s="9"/>
      <c r="C518" s="9"/>
      <c r="D518" s="9"/>
      <c r="E518" s="9"/>
      <c r="F518" s="9"/>
      <c r="G518" s="9"/>
      <c r="H518" s="9"/>
      <c r="I518" s="9"/>
      <c r="J518" s="9"/>
      <c r="K518" s="9"/>
    </row>
    <row r="519" spans="1:11" hidden="1">
      <c r="A519" s="9"/>
      <c r="B519" s="9"/>
      <c r="C519" s="9"/>
      <c r="D519" s="9"/>
      <c r="E519" s="9"/>
      <c r="F519" s="9"/>
      <c r="G519" s="9"/>
      <c r="H519" s="9"/>
      <c r="I519" s="9"/>
      <c r="J519" s="9"/>
      <c r="K519" s="9"/>
    </row>
    <row r="520" spans="1:11" hidden="1">
      <c r="A520" s="9"/>
      <c r="B520" s="9"/>
      <c r="C520" s="9"/>
      <c r="D520" s="9"/>
      <c r="E520" s="9"/>
      <c r="F520" s="9"/>
      <c r="G520" s="9"/>
      <c r="H520" s="9"/>
      <c r="I520" s="9"/>
      <c r="J520" s="9"/>
      <c r="K520" s="9"/>
    </row>
    <row r="521" spans="1:11" hidden="1">
      <c r="A521" s="9"/>
      <c r="B521" s="9"/>
      <c r="C521" s="9"/>
      <c r="D521" s="9"/>
      <c r="E521" s="9"/>
      <c r="F521" s="9"/>
      <c r="G521" s="9"/>
      <c r="H521" s="9"/>
      <c r="I521" s="9"/>
      <c r="J521" s="9"/>
      <c r="K521" s="9"/>
    </row>
    <row r="522" spans="1:11" hidden="1">
      <c r="A522" s="9"/>
      <c r="B522" s="9"/>
      <c r="C522" s="9"/>
      <c r="D522" s="9"/>
      <c r="E522" s="9"/>
      <c r="F522" s="9"/>
      <c r="G522" s="9"/>
      <c r="H522" s="9"/>
      <c r="I522" s="9"/>
      <c r="J522" s="9"/>
      <c r="K522" s="9"/>
    </row>
    <row r="523" spans="1:11" hidden="1">
      <c r="A523" s="9"/>
      <c r="B523" s="9"/>
      <c r="C523" s="9"/>
      <c r="D523" s="9"/>
      <c r="E523" s="9"/>
      <c r="F523" s="9"/>
      <c r="G523" s="9"/>
      <c r="H523" s="9"/>
      <c r="I523" s="9"/>
      <c r="J523" s="9"/>
      <c r="K523" s="9"/>
    </row>
    <row r="524" spans="1:11" hidden="1">
      <c r="A524" s="9"/>
      <c r="B524" s="9"/>
      <c r="C524" s="9"/>
      <c r="D524" s="9"/>
      <c r="E524" s="9"/>
      <c r="F524" s="9"/>
      <c r="G524" s="9"/>
      <c r="H524" s="9"/>
      <c r="I524" s="9"/>
      <c r="J524" s="9"/>
      <c r="K524" s="9"/>
    </row>
    <row r="525" spans="1:11" hidden="1">
      <c r="A525" s="9"/>
      <c r="B525" s="9"/>
      <c r="C525" s="9"/>
      <c r="D525" s="9"/>
      <c r="E525" s="9"/>
      <c r="F525" s="9"/>
      <c r="G525" s="9"/>
      <c r="H525" s="9"/>
      <c r="I525" s="9"/>
      <c r="J525" s="9"/>
      <c r="K525" s="9"/>
    </row>
    <row r="526" spans="1:11" hidden="1">
      <c r="A526" s="9"/>
      <c r="B526" s="9"/>
      <c r="C526" s="9"/>
      <c r="D526" s="9"/>
      <c r="E526" s="9"/>
      <c r="F526" s="9"/>
      <c r="G526" s="9"/>
      <c r="H526" s="9"/>
      <c r="I526" s="9"/>
      <c r="J526" s="9"/>
      <c r="K526" s="9"/>
    </row>
    <row r="527" spans="1:11" hidden="1">
      <c r="A527" s="9"/>
      <c r="B527" s="9"/>
      <c r="C527" s="9"/>
      <c r="D527" s="9"/>
      <c r="E527" s="9"/>
      <c r="F527" s="9"/>
      <c r="G527" s="9"/>
      <c r="H527" s="9"/>
      <c r="I527" s="9"/>
      <c r="J527" s="9"/>
      <c r="K527" s="9"/>
    </row>
    <row r="528" spans="1:11" hidden="1">
      <c r="A528" s="9"/>
      <c r="B528" s="9"/>
      <c r="C528" s="9"/>
      <c r="D528" s="9"/>
      <c r="E528" s="9"/>
      <c r="F528" s="9"/>
      <c r="G528" s="9"/>
      <c r="H528" s="9"/>
      <c r="I528" s="9"/>
      <c r="J528" s="9"/>
      <c r="K528" s="9"/>
    </row>
    <row r="529" spans="1:11" hidden="1">
      <c r="A529" s="9"/>
      <c r="B529" s="9"/>
      <c r="C529" s="9"/>
      <c r="D529" s="9"/>
      <c r="E529" s="9"/>
      <c r="F529" s="9"/>
      <c r="G529" s="9"/>
      <c r="H529" s="9"/>
      <c r="I529" s="9"/>
      <c r="J529" s="9"/>
      <c r="K529" s="9"/>
    </row>
    <row r="530" spans="1:11" hidden="1">
      <c r="A530" s="9"/>
      <c r="B530" s="9"/>
      <c r="C530" s="9"/>
      <c r="D530" s="9"/>
      <c r="E530" s="9"/>
      <c r="F530" s="9"/>
      <c r="G530" s="9"/>
      <c r="H530" s="9"/>
      <c r="I530" s="9"/>
      <c r="J530" s="9"/>
      <c r="K530" s="9"/>
    </row>
    <row r="531" spans="1:11" hidden="1">
      <c r="A531" s="9"/>
      <c r="B531" s="9"/>
      <c r="C531" s="9"/>
      <c r="D531" s="9"/>
      <c r="E531" s="9"/>
      <c r="F531" s="9"/>
      <c r="G531" s="9"/>
      <c r="H531" s="9"/>
      <c r="I531" s="9"/>
      <c r="J531" s="9"/>
      <c r="K531" s="9"/>
    </row>
    <row r="532" spans="1:11" hidden="1">
      <c r="A532" s="9"/>
      <c r="B532" s="9"/>
      <c r="C532" s="9"/>
      <c r="D532" s="9"/>
      <c r="E532" s="9"/>
      <c r="F532" s="9"/>
      <c r="G532" s="9"/>
      <c r="H532" s="9"/>
      <c r="I532" s="9"/>
      <c r="J532" s="9"/>
      <c r="K532" s="9"/>
    </row>
    <row r="533" spans="1:11" hidden="1">
      <c r="A533" s="9"/>
      <c r="B533" s="9"/>
      <c r="C533" s="9"/>
      <c r="D533" s="9"/>
      <c r="E533" s="9"/>
      <c r="F533" s="9"/>
      <c r="G533" s="9"/>
      <c r="H533" s="9"/>
      <c r="I533" s="9"/>
      <c r="J533" s="9"/>
      <c r="K533" s="9"/>
    </row>
    <row r="534" spans="1:11" hidden="1">
      <c r="A534" s="9"/>
      <c r="B534" s="9"/>
      <c r="C534" s="9"/>
      <c r="D534" s="9"/>
      <c r="E534" s="9"/>
      <c r="F534" s="9"/>
      <c r="G534" s="9"/>
      <c r="H534" s="9"/>
      <c r="I534" s="9"/>
      <c r="J534" s="9"/>
      <c r="K534" s="9"/>
    </row>
    <row r="535" spans="1:11" hidden="1">
      <c r="A535" s="9"/>
      <c r="B535" s="9"/>
      <c r="C535" s="9"/>
      <c r="D535" s="9"/>
      <c r="E535" s="9"/>
      <c r="F535" s="9"/>
      <c r="G535" s="9"/>
      <c r="H535" s="9"/>
      <c r="I535" s="9"/>
      <c r="J535" s="9"/>
      <c r="K535" s="9"/>
    </row>
    <row r="536" spans="1:11" hidden="1">
      <c r="A536" s="9"/>
      <c r="B536" s="9"/>
      <c r="C536" s="9"/>
      <c r="D536" s="9"/>
      <c r="E536" s="9"/>
      <c r="F536" s="9"/>
      <c r="G536" s="9"/>
      <c r="H536" s="9"/>
      <c r="I536" s="9"/>
      <c r="J536" s="9"/>
      <c r="K536" s="9"/>
    </row>
    <row r="537" spans="1:11" hidden="1">
      <c r="A537" s="9"/>
      <c r="B537" s="9"/>
      <c r="C537" s="9"/>
      <c r="D537" s="9"/>
      <c r="E537" s="9"/>
      <c r="F537" s="9"/>
      <c r="G537" s="9"/>
      <c r="H537" s="9"/>
      <c r="I537" s="9"/>
      <c r="J537" s="9"/>
      <c r="K537" s="9"/>
    </row>
    <row r="538" spans="1:11" hidden="1">
      <c r="A538" s="9"/>
      <c r="B538" s="9"/>
      <c r="C538" s="9"/>
      <c r="D538" s="9"/>
      <c r="E538" s="9"/>
      <c r="F538" s="9"/>
      <c r="G538" s="9"/>
      <c r="H538" s="9"/>
      <c r="I538" s="9"/>
      <c r="J538" s="9"/>
      <c r="K538" s="9"/>
    </row>
    <row r="539" spans="1:11" hidden="1">
      <c r="A539" s="9"/>
      <c r="B539" s="9"/>
      <c r="C539" s="9"/>
      <c r="D539" s="9"/>
      <c r="E539" s="9"/>
      <c r="F539" s="9"/>
      <c r="G539" s="9"/>
      <c r="H539" s="9"/>
      <c r="I539" s="9"/>
      <c r="J539" s="9"/>
      <c r="K539" s="9"/>
    </row>
    <row r="540" spans="1:11" hidden="1">
      <c r="A540" s="9"/>
      <c r="B540" s="9"/>
      <c r="C540" s="9"/>
      <c r="D540" s="9"/>
      <c r="E540" s="9"/>
      <c r="F540" s="9"/>
      <c r="G540" s="9"/>
      <c r="H540" s="9"/>
      <c r="I540" s="9"/>
      <c r="J540" s="9"/>
      <c r="K540" s="9"/>
    </row>
    <row r="541" spans="1:11" hidden="1">
      <c r="A541" s="9"/>
      <c r="B541" s="9"/>
      <c r="C541" s="9"/>
      <c r="D541" s="9"/>
      <c r="E541" s="9"/>
      <c r="F541" s="9"/>
      <c r="G541" s="9"/>
      <c r="H541" s="9"/>
      <c r="I541" s="9"/>
      <c r="J541" s="9"/>
      <c r="K541" s="9"/>
    </row>
    <row r="542" spans="1:11" hidden="1">
      <c r="A542" s="9"/>
      <c r="B542" s="9"/>
      <c r="C542" s="9"/>
      <c r="D542" s="9"/>
      <c r="E542" s="9"/>
      <c r="F542" s="9"/>
      <c r="G542" s="9"/>
      <c r="H542" s="9"/>
      <c r="I542" s="9"/>
      <c r="J542" s="9"/>
      <c r="K542" s="9"/>
    </row>
    <row r="543" spans="1:11" hidden="1">
      <c r="A543" s="9"/>
      <c r="B543" s="9"/>
      <c r="C543" s="9"/>
      <c r="D543" s="9"/>
      <c r="E543" s="9"/>
      <c r="F543" s="9"/>
      <c r="G543" s="9"/>
      <c r="H543" s="9"/>
      <c r="I543" s="9"/>
      <c r="J543" s="9"/>
      <c r="K543" s="9"/>
    </row>
    <row r="544" spans="1:11" hidden="1">
      <c r="A544" s="9"/>
      <c r="B544" s="9"/>
      <c r="C544" s="9"/>
      <c r="D544" s="9"/>
      <c r="E544" s="9"/>
      <c r="F544" s="9"/>
      <c r="G544" s="9"/>
      <c r="H544" s="9"/>
      <c r="I544" s="9"/>
      <c r="J544" s="9"/>
      <c r="K544" s="9"/>
    </row>
    <row r="545" spans="1:11" hidden="1">
      <c r="A545" s="9"/>
      <c r="B545" s="9"/>
      <c r="C545" s="9"/>
      <c r="D545" s="9"/>
      <c r="E545" s="9"/>
      <c r="F545" s="9"/>
      <c r="G545" s="9"/>
      <c r="H545" s="9"/>
      <c r="I545" s="9"/>
      <c r="J545" s="9"/>
      <c r="K545" s="9"/>
    </row>
    <row r="546" spans="1:11" hidden="1">
      <c r="A546" s="9"/>
      <c r="B546" s="9"/>
      <c r="C546" s="9"/>
      <c r="D546" s="9"/>
      <c r="E546" s="9"/>
      <c r="F546" s="9"/>
      <c r="G546" s="9"/>
      <c r="H546" s="9"/>
      <c r="I546" s="9"/>
      <c r="J546" s="9"/>
      <c r="K546" s="9"/>
    </row>
    <row r="547" spans="1:11" hidden="1">
      <c r="A547" s="9"/>
      <c r="B547" s="9"/>
      <c r="C547" s="9"/>
      <c r="D547" s="9"/>
      <c r="E547" s="9"/>
      <c r="F547" s="9"/>
      <c r="G547" s="9"/>
      <c r="H547" s="9"/>
      <c r="I547" s="9"/>
      <c r="J547" s="9"/>
      <c r="K547" s="9"/>
    </row>
    <row r="548" spans="1:11" hidden="1">
      <c r="A548" s="9"/>
      <c r="B548" s="9"/>
      <c r="C548" s="9"/>
      <c r="D548" s="9"/>
      <c r="E548" s="9"/>
      <c r="F548" s="9"/>
      <c r="G548" s="9"/>
      <c r="H548" s="9"/>
      <c r="I548" s="9"/>
      <c r="J548" s="9"/>
      <c r="K548" s="9"/>
    </row>
    <row r="549" spans="1:11" hidden="1">
      <c r="A549" s="9"/>
      <c r="B549" s="9"/>
      <c r="C549" s="9"/>
      <c r="D549" s="9"/>
      <c r="E549" s="9"/>
      <c r="F549" s="9"/>
      <c r="G549" s="9"/>
      <c r="H549" s="9"/>
      <c r="I549" s="9"/>
      <c r="J549" s="9"/>
      <c r="K549" s="9"/>
    </row>
    <row r="550" spans="1:11" hidden="1">
      <c r="A550" s="9"/>
      <c r="B550" s="9"/>
      <c r="C550" s="9"/>
      <c r="D550" s="9"/>
      <c r="E550" s="9"/>
      <c r="F550" s="9"/>
      <c r="G550" s="9"/>
      <c r="H550" s="9"/>
      <c r="I550" s="9"/>
      <c r="J550" s="9"/>
      <c r="K550" s="9"/>
    </row>
    <row r="551" spans="1:11" hidden="1">
      <c r="A551" s="9"/>
      <c r="B551" s="9"/>
      <c r="C551" s="9"/>
      <c r="D551" s="9"/>
      <c r="E551" s="9"/>
      <c r="F551" s="9"/>
      <c r="G551" s="9"/>
      <c r="H551" s="9"/>
      <c r="I551" s="9"/>
      <c r="J551" s="9"/>
      <c r="K551" s="9"/>
    </row>
    <row r="552" spans="1:11" hidden="1">
      <c r="A552" s="9"/>
      <c r="B552" s="9"/>
      <c r="C552" s="9"/>
      <c r="D552" s="9"/>
      <c r="E552" s="9"/>
      <c r="F552" s="9"/>
      <c r="G552" s="9"/>
      <c r="H552" s="9"/>
      <c r="I552" s="9"/>
      <c r="J552" s="9"/>
      <c r="K552" s="9"/>
    </row>
    <row r="553" spans="1:11" hidden="1">
      <c r="A553" s="9"/>
      <c r="B553" s="9"/>
      <c r="C553" s="9"/>
      <c r="D553" s="9"/>
      <c r="E553" s="9"/>
      <c r="F553" s="9"/>
      <c r="G553" s="9"/>
      <c r="H553" s="9"/>
      <c r="I553" s="9"/>
      <c r="J553" s="9"/>
      <c r="K553" s="9"/>
    </row>
    <row r="554" spans="1:11" hidden="1">
      <c r="A554" s="9"/>
      <c r="B554" s="9"/>
      <c r="C554" s="9"/>
      <c r="D554" s="9"/>
      <c r="E554" s="9"/>
      <c r="F554" s="9"/>
      <c r="G554" s="9"/>
      <c r="H554" s="9"/>
      <c r="I554" s="9"/>
      <c r="J554" s="9"/>
      <c r="K554" s="9"/>
    </row>
    <row r="555" spans="1:11" hidden="1">
      <c r="A555" s="9"/>
      <c r="B555" s="9"/>
      <c r="C555" s="9"/>
      <c r="D555" s="9"/>
      <c r="E555" s="9"/>
      <c r="F555" s="9"/>
      <c r="G555" s="9"/>
      <c r="H555" s="9"/>
      <c r="I555" s="9"/>
      <c r="J555" s="9"/>
      <c r="K555" s="9"/>
    </row>
    <row r="556" spans="1:11" hidden="1">
      <c r="A556" s="9"/>
      <c r="B556" s="9"/>
      <c r="C556" s="9"/>
      <c r="D556" s="9"/>
      <c r="E556" s="9"/>
      <c r="F556" s="9"/>
      <c r="G556" s="9"/>
      <c r="H556" s="9"/>
      <c r="I556" s="9"/>
      <c r="J556" s="9"/>
      <c r="K556" s="9"/>
    </row>
    <row r="557" spans="1:11" hidden="1">
      <c r="A557" s="9"/>
      <c r="B557" s="9"/>
      <c r="C557" s="9"/>
      <c r="D557" s="9"/>
      <c r="E557" s="9"/>
      <c r="F557" s="9"/>
      <c r="G557" s="9"/>
      <c r="H557" s="9"/>
      <c r="I557" s="9"/>
      <c r="J557" s="9"/>
      <c r="K557" s="9"/>
    </row>
    <row r="558" spans="1:11" hidden="1">
      <c r="A558" s="9"/>
      <c r="B558" s="9"/>
      <c r="C558" s="9"/>
      <c r="D558" s="9"/>
      <c r="E558" s="9"/>
      <c r="F558" s="9"/>
      <c r="G558" s="9"/>
      <c r="H558" s="9"/>
      <c r="I558" s="9"/>
      <c r="J558" s="9"/>
      <c r="K558" s="9"/>
    </row>
    <row r="559" spans="1:11" hidden="1">
      <c r="A559" s="9"/>
      <c r="B559" s="9"/>
      <c r="C559" s="9"/>
      <c r="D559" s="9"/>
      <c r="E559" s="9"/>
      <c r="F559" s="9"/>
      <c r="G559" s="9"/>
      <c r="H559" s="9"/>
      <c r="I559" s="9"/>
      <c r="J559" s="9"/>
      <c r="K559" s="9"/>
    </row>
    <row r="560" spans="1:11" hidden="1">
      <c r="A560" s="9"/>
      <c r="B560" s="9"/>
      <c r="C560" s="9"/>
      <c r="D560" s="9"/>
      <c r="E560" s="9"/>
      <c r="F560" s="9"/>
      <c r="G560" s="9"/>
      <c r="H560" s="9"/>
      <c r="I560" s="9"/>
      <c r="J560" s="9"/>
      <c r="K560" s="9"/>
    </row>
    <row r="561" spans="1:11" hidden="1">
      <c r="A561" s="9"/>
      <c r="B561" s="9"/>
      <c r="C561" s="9"/>
      <c r="D561" s="9"/>
      <c r="E561" s="9"/>
      <c r="F561" s="9"/>
      <c r="G561" s="9"/>
      <c r="H561" s="9"/>
      <c r="I561" s="9"/>
      <c r="J561" s="9"/>
      <c r="K561" s="9"/>
    </row>
    <row r="562" spans="1:11" hidden="1">
      <c r="A562" s="9"/>
      <c r="B562" s="9"/>
      <c r="C562" s="9"/>
      <c r="D562" s="9"/>
      <c r="E562" s="9"/>
      <c r="F562" s="9"/>
      <c r="G562" s="9"/>
      <c r="H562" s="9"/>
      <c r="I562" s="9"/>
      <c r="J562" s="9"/>
      <c r="K562" s="9"/>
    </row>
    <row r="563" spans="1:11" hidden="1">
      <c r="A563" s="9"/>
      <c r="B563" s="9"/>
      <c r="C563" s="9"/>
      <c r="D563" s="9"/>
      <c r="E563" s="9"/>
      <c r="F563" s="9"/>
      <c r="G563" s="9"/>
      <c r="H563" s="9"/>
      <c r="I563" s="9"/>
      <c r="J563" s="9"/>
      <c r="K563" s="9"/>
    </row>
    <row r="564" spans="1:11" hidden="1">
      <c r="A564" s="9"/>
      <c r="B564" s="9"/>
      <c r="C564" s="9"/>
      <c r="D564" s="9"/>
      <c r="E564" s="9"/>
      <c r="F564" s="9"/>
      <c r="G564" s="9"/>
      <c r="H564" s="9"/>
      <c r="I564" s="9"/>
      <c r="J564" s="9"/>
      <c r="K564" s="9"/>
    </row>
    <row r="565" spans="1:11" hidden="1">
      <c r="A565" s="9"/>
      <c r="B565" s="9"/>
      <c r="C565" s="9"/>
      <c r="D565" s="9"/>
      <c r="E565" s="9"/>
      <c r="F565" s="9"/>
      <c r="G565" s="9"/>
      <c r="H565" s="9"/>
      <c r="I565" s="9"/>
      <c r="J565" s="9"/>
      <c r="K565" s="9"/>
    </row>
    <row r="566" spans="1:11" hidden="1">
      <c r="A566" s="9"/>
      <c r="B566" s="9"/>
      <c r="C566" s="9"/>
      <c r="D566" s="9"/>
      <c r="E566" s="9"/>
      <c r="F566" s="9"/>
      <c r="G566" s="9"/>
      <c r="H566" s="9"/>
      <c r="I566" s="9"/>
      <c r="J566" s="9"/>
      <c r="K566" s="9"/>
    </row>
    <row r="567" spans="1:11" hidden="1">
      <c r="A567" s="9"/>
      <c r="B567" s="9"/>
      <c r="C567" s="9"/>
      <c r="D567" s="9"/>
      <c r="E567" s="9"/>
      <c r="F567" s="9"/>
      <c r="G567" s="9"/>
      <c r="H567" s="9"/>
      <c r="I567" s="9"/>
      <c r="J567" s="9"/>
      <c r="K567" s="9"/>
    </row>
    <row r="568" spans="1:11" hidden="1">
      <c r="A568" s="9"/>
      <c r="B568" s="9"/>
      <c r="C568" s="9"/>
      <c r="D568" s="9"/>
      <c r="E568" s="9"/>
      <c r="F568" s="9"/>
      <c r="G568" s="9"/>
      <c r="H568" s="9"/>
      <c r="I568" s="9"/>
      <c r="J568" s="9"/>
      <c r="K568" s="9"/>
    </row>
    <row r="569" spans="1:11" hidden="1">
      <c r="A569" s="9"/>
      <c r="B569" s="9"/>
      <c r="C569" s="9"/>
      <c r="D569" s="9"/>
      <c r="E569" s="9"/>
      <c r="F569" s="9"/>
      <c r="G569" s="9"/>
      <c r="H569" s="9"/>
      <c r="I569" s="9"/>
      <c r="J569" s="9"/>
      <c r="K569" s="9"/>
    </row>
    <row r="570" spans="1:11" hidden="1">
      <c r="A570" s="9"/>
      <c r="B570" s="9"/>
      <c r="C570" s="9"/>
      <c r="D570" s="9"/>
      <c r="E570" s="9"/>
      <c r="F570" s="9"/>
      <c r="G570" s="9"/>
      <c r="H570" s="9"/>
      <c r="I570" s="9"/>
      <c r="J570" s="9"/>
      <c r="K570" s="9"/>
    </row>
    <row r="571" spans="1:11" hidden="1">
      <c r="A571" s="9"/>
      <c r="B571" s="9"/>
      <c r="C571" s="9"/>
      <c r="D571" s="9"/>
      <c r="E571" s="9"/>
      <c r="F571" s="9"/>
      <c r="G571" s="9"/>
      <c r="H571" s="9"/>
      <c r="I571" s="9"/>
      <c r="J571" s="9"/>
      <c r="K571" s="9"/>
    </row>
    <row r="572" spans="1:11" hidden="1">
      <c r="A572" s="9"/>
      <c r="B572" s="9"/>
      <c r="C572" s="9"/>
      <c r="D572" s="9"/>
      <c r="E572" s="9"/>
      <c r="F572" s="9"/>
      <c r="G572" s="9"/>
      <c r="H572" s="9"/>
      <c r="I572" s="9"/>
      <c r="J572" s="9"/>
      <c r="K572" s="9"/>
    </row>
    <row r="573" spans="1:11" hidden="1">
      <c r="A573" s="9"/>
      <c r="B573" s="9"/>
      <c r="C573" s="9"/>
      <c r="D573" s="9"/>
      <c r="E573" s="9"/>
      <c r="F573" s="9"/>
      <c r="G573" s="9"/>
      <c r="H573" s="9"/>
      <c r="I573" s="9"/>
      <c r="J573" s="9"/>
      <c r="K573" s="9"/>
    </row>
    <row r="574" spans="1:11" hidden="1">
      <c r="A574" s="9"/>
      <c r="B574" s="9"/>
      <c r="C574" s="9"/>
      <c r="D574" s="9"/>
      <c r="E574" s="9"/>
      <c r="F574" s="9"/>
      <c r="G574" s="9"/>
      <c r="H574" s="9"/>
      <c r="I574" s="9"/>
      <c r="J574" s="9"/>
      <c r="K574" s="9"/>
    </row>
    <row r="575" spans="1:11" hidden="1">
      <c r="A575" s="9"/>
      <c r="B575" s="9"/>
      <c r="C575" s="9"/>
      <c r="D575" s="9"/>
      <c r="E575" s="9"/>
      <c r="F575" s="9"/>
      <c r="G575" s="9"/>
      <c r="H575" s="9"/>
      <c r="I575" s="9"/>
      <c r="J575" s="9"/>
      <c r="K575" s="9"/>
    </row>
    <row r="576" spans="1:11" hidden="1">
      <c r="A576" s="9"/>
      <c r="B576" s="9"/>
      <c r="C576" s="9"/>
      <c r="D576" s="9"/>
      <c r="E576" s="9"/>
      <c r="F576" s="9"/>
      <c r="G576" s="9"/>
      <c r="H576" s="9"/>
      <c r="I576" s="9"/>
      <c r="J576" s="9"/>
      <c r="K576" s="9"/>
    </row>
    <row r="577" spans="1:11" hidden="1">
      <c r="A577" s="9"/>
      <c r="B577" s="9"/>
      <c r="C577" s="9"/>
      <c r="D577" s="9"/>
      <c r="E577" s="9"/>
      <c r="F577" s="9"/>
      <c r="G577" s="9"/>
      <c r="H577" s="9"/>
      <c r="I577" s="9"/>
      <c r="J577" s="9"/>
      <c r="K577" s="9"/>
    </row>
    <row r="578" spans="1:11" hidden="1">
      <c r="A578" s="9"/>
      <c r="B578" s="9"/>
      <c r="C578" s="9"/>
      <c r="D578" s="9"/>
      <c r="E578" s="9"/>
      <c r="F578" s="9"/>
      <c r="G578" s="9"/>
      <c r="H578" s="9"/>
      <c r="I578" s="9"/>
      <c r="J578" s="9"/>
      <c r="K578" s="9"/>
    </row>
    <row r="579" spans="1:11" hidden="1">
      <c r="A579" s="9"/>
      <c r="B579" s="9"/>
      <c r="C579" s="9"/>
      <c r="D579" s="9"/>
      <c r="E579" s="9"/>
      <c r="F579" s="9"/>
      <c r="G579" s="9"/>
      <c r="H579" s="9"/>
      <c r="I579" s="9"/>
      <c r="J579" s="9"/>
      <c r="K579" s="9"/>
    </row>
    <row r="580" spans="1:11" hidden="1">
      <c r="A580" s="9"/>
      <c r="B580" s="9"/>
      <c r="C580" s="9"/>
      <c r="D580" s="9"/>
      <c r="E580" s="9"/>
      <c r="F580" s="9"/>
      <c r="G580" s="9"/>
      <c r="H580" s="9"/>
      <c r="I580" s="9"/>
      <c r="J580" s="9"/>
      <c r="K580" s="9"/>
    </row>
    <row r="581" spans="1:11" hidden="1">
      <c r="A581" s="9"/>
      <c r="B581" s="9"/>
      <c r="C581" s="9"/>
      <c r="D581" s="9"/>
      <c r="E581" s="9"/>
      <c r="F581" s="9"/>
      <c r="G581" s="9"/>
      <c r="H581" s="9"/>
      <c r="I581" s="9"/>
      <c r="J581" s="9"/>
      <c r="K581" s="9"/>
    </row>
    <row r="582" spans="1:11" hidden="1">
      <c r="A582" s="9"/>
      <c r="B582" s="9"/>
      <c r="C582" s="9"/>
      <c r="D582" s="9"/>
      <c r="E582" s="9"/>
      <c r="F582" s="9"/>
      <c r="G582" s="9"/>
      <c r="H582" s="9"/>
      <c r="I582" s="9"/>
      <c r="J582" s="9"/>
      <c r="K582" s="9"/>
    </row>
    <row r="583" spans="1:11" hidden="1">
      <c r="A583" s="9"/>
      <c r="B583" s="9"/>
      <c r="C583" s="9"/>
      <c r="D583" s="9"/>
      <c r="E583" s="9"/>
      <c r="F583" s="9"/>
      <c r="G583" s="9"/>
      <c r="H583" s="9"/>
      <c r="I583" s="9"/>
      <c r="J583" s="9"/>
      <c r="K583" s="9"/>
    </row>
    <row r="584" spans="1:11" hidden="1">
      <c r="A584" s="9"/>
      <c r="B584" s="9"/>
      <c r="C584" s="9"/>
      <c r="D584" s="9"/>
      <c r="E584" s="9"/>
      <c r="F584" s="9"/>
      <c r="G584" s="9"/>
      <c r="H584" s="9"/>
      <c r="I584" s="9"/>
      <c r="J584" s="9"/>
      <c r="K584" s="9"/>
    </row>
    <row r="585" spans="1:11" hidden="1">
      <c r="A585" s="9"/>
      <c r="B585" s="9"/>
      <c r="C585" s="9"/>
      <c r="D585" s="9"/>
      <c r="E585" s="9"/>
      <c r="F585" s="9"/>
      <c r="G585" s="9"/>
      <c r="H585" s="9"/>
      <c r="I585" s="9"/>
      <c r="J585" s="9"/>
      <c r="K585" s="9"/>
    </row>
    <row r="586" spans="1:11" hidden="1">
      <c r="A586" s="9"/>
      <c r="B586" s="9"/>
      <c r="C586" s="9"/>
      <c r="D586" s="9"/>
      <c r="E586" s="9"/>
      <c r="F586" s="9"/>
      <c r="G586" s="9"/>
      <c r="H586" s="9"/>
      <c r="I586" s="9"/>
      <c r="J586" s="9"/>
      <c r="K586" s="9"/>
    </row>
    <row r="587" spans="1:11" hidden="1">
      <c r="A587" s="9"/>
      <c r="B587" s="9"/>
      <c r="C587" s="9"/>
      <c r="D587" s="9"/>
      <c r="E587" s="9"/>
      <c r="F587" s="9"/>
      <c r="G587" s="9"/>
      <c r="H587" s="9"/>
      <c r="I587" s="9"/>
      <c r="J587" s="9"/>
      <c r="K587" s="9"/>
    </row>
    <row r="588" spans="1:11" hidden="1">
      <c r="A588" s="9"/>
      <c r="B588" s="9"/>
      <c r="C588" s="9"/>
      <c r="D588" s="9"/>
      <c r="E588" s="9"/>
      <c r="F588" s="9"/>
      <c r="G588" s="9"/>
      <c r="H588" s="9"/>
      <c r="I588" s="9"/>
      <c r="J588" s="9"/>
      <c r="K588" s="9"/>
    </row>
    <row r="589" spans="1:11" hidden="1">
      <c r="A589" s="9"/>
      <c r="B589" s="9"/>
      <c r="C589" s="9"/>
      <c r="D589" s="9"/>
      <c r="E589" s="9"/>
      <c r="F589" s="9"/>
      <c r="G589" s="9"/>
      <c r="H589" s="9"/>
      <c r="I589" s="9"/>
      <c r="J589" s="9"/>
      <c r="K589" s="9"/>
    </row>
    <row r="590" spans="1:11" hidden="1">
      <c r="A590" s="9"/>
      <c r="B590" s="9"/>
      <c r="C590" s="9"/>
      <c r="D590" s="9"/>
      <c r="E590" s="9"/>
      <c r="F590" s="9"/>
      <c r="G590" s="9"/>
      <c r="H590" s="9"/>
      <c r="I590" s="9"/>
      <c r="J590" s="9"/>
      <c r="K590" s="9"/>
    </row>
    <row r="591" spans="1:11" hidden="1">
      <c r="A591" s="9"/>
      <c r="B591" s="9"/>
      <c r="C591" s="9"/>
      <c r="D591" s="9"/>
      <c r="E591" s="9"/>
      <c r="F591" s="9"/>
      <c r="G591" s="9"/>
      <c r="H591" s="9"/>
      <c r="I591" s="9"/>
      <c r="J591" s="9"/>
      <c r="K591" s="9"/>
    </row>
    <row r="592" spans="1:11" hidden="1">
      <c r="A592" s="9"/>
      <c r="B592" s="9"/>
      <c r="C592" s="9"/>
      <c r="D592" s="9"/>
      <c r="E592" s="9"/>
      <c r="F592" s="9"/>
      <c r="G592" s="9"/>
      <c r="H592" s="9"/>
      <c r="I592" s="9"/>
      <c r="J592" s="9"/>
      <c r="K592" s="9"/>
    </row>
    <row r="593" spans="1:11" hidden="1">
      <c r="A593" s="9"/>
      <c r="B593" s="9"/>
      <c r="C593" s="9"/>
      <c r="D593" s="9"/>
      <c r="E593" s="9"/>
      <c r="F593" s="9"/>
      <c r="G593" s="9"/>
      <c r="H593" s="9"/>
      <c r="I593" s="9"/>
      <c r="J593" s="9"/>
      <c r="K593" s="9"/>
    </row>
    <row r="594" spans="1:11" hidden="1">
      <c r="A594" s="9"/>
      <c r="B594" s="9"/>
      <c r="C594" s="9"/>
      <c r="D594" s="9"/>
      <c r="E594" s="9"/>
      <c r="F594" s="9"/>
      <c r="G594" s="9"/>
      <c r="H594" s="9"/>
      <c r="I594" s="9"/>
      <c r="J594" s="9"/>
      <c r="K594" s="9"/>
    </row>
    <row r="595" spans="1:11" hidden="1">
      <c r="A595" s="9"/>
      <c r="B595" s="9"/>
      <c r="C595" s="9"/>
      <c r="D595" s="9"/>
      <c r="E595" s="9"/>
      <c r="F595" s="9"/>
      <c r="G595" s="9"/>
      <c r="H595" s="9"/>
      <c r="I595" s="9"/>
      <c r="J595" s="9"/>
      <c r="K595" s="9"/>
    </row>
    <row r="596" spans="1:11" hidden="1">
      <c r="A596" s="9"/>
      <c r="B596" s="9"/>
      <c r="C596" s="9"/>
      <c r="D596" s="9"/>
      <c r="E596" s="9"/>
      <c r="F596" s="9"/>
      <c r="G596" s="9"/>
      <c r="H596" s="9"/>
      <c r="I596" s="9"/>
      <c r="J596" s="9"/>
      <c r="K596" s="9"/>
    </row>
    <row r="597" spans="1:11" hidden="1">
      <c r="A597" s="9"/>
      <c r="B597" s="9"/>
      <c r="C597" s="9"/>
      <c r="D597" s="9"/>
      <c r="E597" s="9"/>
      <c r="F597" s="9"/>
      <c r="G597" s="9"/>
      <c r="H597" s="9"/>
      <c r="I597" s="9"/>
      <c r="J597" s="9"/>
      <c r="K597" s="9"/>
    </row>
    <row r="598" spans="1:11" hidden="1">
      <c r="A598" s="9"/>
      <c r="B598" s="9"/>
      <c r="C598" s="9"/>
      <c r="D598" s="9"/>
      <c r="E598" s="9"/>
      <c r="F598" s="9"/>
      <c r="G598" s="9"/>
      <c r="H598" s="9"/>
      <c r="I598" s="9"/>
      <c r="J598" s="9"/>
      <c r="K598" s="9"/>
    </row>
    <row r="599" spans="1:11" hidden="1">
      <c r="A599" s="9"/>
      <c r="B599" s="9"/>
      <c r="C599" s="9"/>
      <c r="D599" s="9"/>
      <c r="E599" s="9"/>
      <c r="F599" s="9"/>
      <c r="G599" s="9"/>
      <c r="H599" s="9"/>
      <c r="I599" s="9"/>
      <c r="J599" s="9"/>
      <c r="K599" s="9"/>
    </row>
    <row r="600" spans="1:11" hidden="1">
      <c r="A600" s="9"/>
      <c r="B600" s="9"/>
      <c r="C600" s="9"/>
      <c r="D600" s="9"/>
      <c r="E600" s="9"/>
      <c r="F600" s="9"/>
      <c r="G600" s="9"/>
      <c r="H600" s="9"/>
      <c r="I600" s="9"/>
      <c r="J600" s="9"/>
      <c r="K600" s="9"/>
    </row>
    <row r="601" spans="1:11" hidden="1">
      <c r="A601" s="9"/>
      <c r="B601" s="9"/>
      <c r="C601" s="9"/>
      <c r="D601" s="9"/>
      <c r="E601" s="9"/>
      <c r="F601" s="9"/>
      <c r="G601" s="9"/>
      <c r="H601" s="9"/>
      <c r="I601" s="9"/>
      <c r="J601" s="9"/>
      <c r="K601" s="9"/>
    </row>
    <row r="602" spans="1:11" hidden="1">
      <c r="A602" s="9"/>
      <c r="B602" s="9"/>
      <c r="C602" s="9"/>
      <c r="D602" s="9"/>
      <c r="E602" s="9"/>
      <c r="F602" s="9"/>
      <c r="G602" s="9"/>
      <c r="H602" s="9"/>
      <c r="I602" s="9"/>
      <c r="J602" s="9"/>
      <c r="K602" s="9"/>
    </row>
    <row r="603" spans="1:11" hidden="1">
      <c r="A603" s="9"/>
      <c r="B603" s="9"/>
      <c r="C603" s="9"/>
      <c r="D603" s="9"/>
      <c r="E603" s="9"/>
      <c r="F603" s="9"/>
      <c r="G603" s="9"/>
      <c r="H603" s="9"/>
      <c r="I603" s="9"/>
      <c r="J603" s="9"/>
      <c r="K603" s="9"/>
    </row>
    <row r="604" spans="1:11" hidden="1">
      <c r="A604" s="9"/>
      <c r="B604" s="9"/>
      <c r="C604" s="9"/>
      <c r="D604" s="9"/>
      <c r="E604" s="9"/>
      <c r="F604" s="9"/>
      <c r="G604" s="9"/>
      <c r="H604" s="9"/>
      <c r="I604" s="9"/>
      <c r="J604" s="9"/>
      <c r="K604" s="9"/>
    </row>
    <row r="605" spans="1:11" hidden="1">
      <c r="A605" s="9"/>
      <c r="B605" s="9"/>
      <c r="C605" s="9"/>
      <c r="D605" s="9"/>
      <c r="E605" s="9"/>
      <c r="F605" s="9"/>
      <c r="G605" s="9"/>
      <c r="H605" s="9"/>
      <c r="I605" s="9"/>
      <c r="J605" s="9"/>
      <c r="K605" s="9"/>
    </row>
    <row r="606" spans="1:11" hidden="1">
      <c r="A606" s="9"/>
      <c r="B606" s="9"/>
      <c r="C606" s="9"/>
      <c r="D606" s="9"/>
      <c r="E606" s="9"/>
      <c r="F606" s="9"/>
      <c r="G606" s="9"/>
      <c r="H606" s="9"/>
      <c r="I606" s="9"/>
      <c r="J606" s="9"/>
      <c r="K606" s="9"/>
    </row>
    <row r="607" spans="1:11" hidden="1">
      <c r="A607" s="9"/>
      <c r="B607" s="9"/>
      <c r="C607" s="9"/>
      <c r="D607" s="9"/>
      <c r="E607" s="9"/>
      <c r="F607" s="9"/>
      <c r="G607" s="9"/>
      <c r="H607" s="9"/>
      <c r="I607" s="9"/>
      <c r="J607" s="9"/>
      <c r="K607" s="9"/>
    </row>
    <row r="608" spans="1:11" hidden="1">
      <c r="A608" s="9"/>
      <c r="B608" s="9"/>
      <c r="C608" s="9"/>
      <c r="D608" s="9"/>
      <c r="E608" s="9"/>
      <c r="F608" s="9"/>
      <c r="G608" s="9"/>
      <c r="H608" s="9"/>
      <c r="I608" s="9"/>
      <c r="J608" s="9"/>
      <c r="K608" s="9"/>
    </row>
    <row r="609" spans="1:11" hidden="1">
      <c r="A609" s="9"/>
      <c r="B609" s="9"/>
      <c r="C609" s="9"/>
      <c r="D609" s="9"/>
      <c r="E609" s="9"/>
      <c r="F609" s="9"/>
      <c r="G609" s="9"/>
      <c r="H609" s="9"/>
      <c r="I609" s="9"/>
      <c r="J609" s="9"/>
      <c r="K609" s="9"/>
    </row>
    <row r="610" spans="1:11" hidden="1">
      <c r="A610" s="9"/>
      <c r="B610" s="9"/>
      <c r="C610" s="9"/>
      <c r="D610" s="9"/>
      <c r="E610" s="9"/>
      <c r="F610" s="9"/>
      <c r="G610" s="9"/>
      <c r="H610" s="9"/>
      <c r="I610" s="9"/>
      <c r="J610" s="9"/>
      <c r="K610" s="9"/>
    </row>
    <row r="611" spans="1:11" hidden="1">
      <c r="A611" s="9"/>
      <c r="B611" s="9"/>
      <c r="C611" s="9"/>
      <c r="D611" s="9"/>
      <c r="E611" s="9"/>
      <c r="F611" s="9"/>
      <c r="G611" s="9"/>
      <c r="H611" s="9"/>
      <c r="I611" s="9"/>
      <c r="J611" s="9"/>
      <c r="K611" s="9"/>
    </row>
    <row r="612" spans="1:11" hidden="1">
      <c r="A612" s="9"/>
      <c r="B612" s="9"/>
      <c r="C612" s="9"/>
      <c r="D612" s="9"/>
      <c r="E612" s="9"/>
      <c r="F612" s="9"/>
      <c r="G612" s="9"/>
      <c r="H612" s="9"/>
      <c r="I612" s="9"/>
      <c r="J612" s="9"/>
      <c r="K612" s="9"/>
    </row>
    <row r="613" spans="1:11" hidden="1">
      <c r="A613" s="9"/>
      <c r="B613" s="9"/>
      <c r="C613" s="9"/>
      <c r="D613" s="9"/>
      <c r="E613" s="9"/>
      <c r="F613" s="9"/>
      <c r="G613" s="9"/>
      <c r="H613" s="9"/>
      <c r="I613" s="9"/>
      <c r="J613" s="9"/>
      <c r="K613" s="9"/>
    </row>
    <row r="614" spans="1:11" hidden="1">
      <c r="A614" s="9"/>
      <c r="B614" s="9"/>
      <c r="C614" s="9"/>
      <c r="D614" s="9"/>
      <c r="E614" s="9"/>
      <c r="F614" s="9"/>
      <c r="G614" s="9"/>
      <c r="H614" s="9"/>
      <c r="I614" s="9"/>
      <c r="J614" s="9"/>
      <c r="K614" s="9"/>
    </row>
    <row r="615" spans="1:11" hidden="1">
      <c r="A615" s="9"/>
      <c r="B615" s="9"/>
      <c r="C615" s="9"/>
      <c r="D615" s="9"/>
      <c r="E615" s="9"/>
      <c r="F615" s="9"/>
      <c r="G615" s="9"/>
      <c r="H615" s="9"/>
      <c r="I615" s="9"/>
      <c r="J615" s="9"/>
      <c r="K615" s="9"/>
    </row>
    <row r="616" spans="1:11" hidden="1">
      <c r="A616" s="9"/>
      <c r="B616" s="9"/>
      <c r="C616" s="9"/>
      <c r="D616" s="9"/>
      <c r="E616" s="9"/>
      <c r="F616" s="9"/>
      <c r="G616" s="9"/>
      <c r="H616" s="9"/>
      <c r="I616" s="9"/>
      <c r="J616" s="9"/>
      <c r="K616" s="9"/>
    </row>
    <row r="617" spans="1:11" hidden="1">
      <c r="A617" s="9"/>
      <c r="B617" s="9"/>
      <c r="C617" s="9"/>
      <c r="D617" s="9"/>
      <c r="E617" s="9"/>
      <c r="F617" s="9"/>
      <c r="G617" s="9"/>
      <c r="H617" s="9"/>
      <c r="I617" s="9"/>
      <c r="J617" s="9"/>
      <c r="K617" s="9"/>
    </row>
    <row r="618" spans="1:11" hidden="1">
      <c r="A618" s="9"/>
      <c r="B618" s="9"/>
      <c r="C618" s="9"/>
      <c r="D618" s="9"/>
      <c r="E618" s="9"/>
      <c r="F618" s="9"/>
      <c r="G618" s="9"/>
      <c r="H618" s="9"/>
      <c r="I618" s="9"/>
      <c r="J618" s="9"/>
      <c r="K618" s="9"/>
    </row>
    <row r="619" spans="1:11" hidden="1">
      <c r="A619" s="9"/>
      <c r="B619" s="9"/>
      <c r="C619" s="9"/>
      <c r="D619" s="9"/>
      <c r="E619" s="9"/>
      <c r="F619" s="9"/>
      <c r="G619" s="9"/>
      <c r="H619" s="9"/>
      <c r="I619" s="9"/>
      <c r="J619" s="9"/>
      <c r="K619" s="9"/>
    </row>
    <row r="620" spans="1:11" hidden="1">
      <c r="A620" s="9"/>
      <c r="B620" s="9"/>
      <c r="C620" s="9"/>
      <c r="D620" s="9"/>
      <c r="E620" s="9"/>
      <c r="F620" s="9"/>
      <c r="G620" s="9"/>
      <c r="H620" s="9"/>
      <c r="I620" s="9"/>
      <c r="J620" s="9"/>
      <c r="K620" s="9"/>
    </row>
    <row r="621" spans="1:11" hidden="1">
      <c r="A621" s="9"/>
      <c r="B621" s="9"/>
      <c r="C621" s="9"/>
      <c r="D621" s="9"/>
      <c r="E621" s="9"/>
      <c r="F621" s="9"/>
      <c r="G621" s="9"/>
      <c r="H621" s="9"/>
      <c r="I621" s="9"/>
      <c r="J621" s="9"/>
      <c r="K621" s="9"/>
    </row>
    <row r="622" spans="1:11" hidden="1">
      <c r="A622" s="9"/>
      <c r="B622" s="9"/>
      <c r="C622" s="9"/>
      <c r="D622" s="9"/>
      <c r="E622" s="9"/>
      <c r="F622" s="9"/>
      <c r="G622" s="9"/>
      <c r="H622" s="9"/>
      <c r="I622" s="9"/>
      <c r="J622" s="9"/>
      <c r="K622" s="9"/>
    </row>
    <row r="623" spans="1:11" hidden="1">
      <c r="A623" s="9"/>
      <c r="B623" s="9"/>
      <c r="C623" s="9"/>
      <c r="D623" s="9"/>
      <c r="E623" s="9"/>
      <c r="F623" s="9"/>
      <c r="G623" s="9"/>
      <c r="H623" s="9"/>
      <c r="I623" s="9"/>
      <c r="J623" s="9"/>
      <c r="K623" s="9"/>
    </row>
    <row r="624" spans="1:11" hidden="1">
      <c r="A624" s="9"/>
      <c r="B624" s="9"/>
      <c r="C624" s="9"/>
      <c r="D624" s="9"/>
      <c r="E624" s="9"/>
      <c r="F624" s="9"/>
      <c r="G624" s="9"/>
      <c r="H624" s="9"/>
      <c r="I624" s="9"/>
      <c r="J624" s="9"/>
      <c r="K624" s="9"/>
    </row>
    <row r="625" spans="1:11" hidden="1">
      <c r="A625" s="9"/>
      <c r="B625" s="9"/>
      <c r="C625" s="9"/>
      <c r="D625" s="9"/>
      <c r="E625" s="9"/>
      <c r="F625" s="9"/>
      <c r="G625" s="9"/>
      <c r="H625" s="9"/>
      <c r="I625" s="9"/>
      <c r="J625" s="9"/>
      <c r="K625" s="9"/>
    </row>
    <row r="626" spans="1:11" hidden="1">
      <c r="A626" s="9"/>
      <c r="B626" s="9"/>
      <c r="C626" s="9"/>
      <c r="D626" s="9"/>
      <c r="E626" s="9"/>
      <c r="F626" s="9"/>
      <c r="G626" s="9"/>
      <c r="H626" s="9"/>
      <c r="I626" s="9"/>
      <c r="J626" s="9"/>
      <c r="K626" s="9"/>
    </row>
    <row r="627" spans="1:11" hidden="1">
      <c r="A627" s="9"/>
      <c r="B627" s="9"/>
      <c r="C627" s="9"/>
      <c r="D627" s="9"/>
      <c r="E627" s="9"/>
      <c r="F627" s="9"/>
      <c r="G627" s="9"/>
      <c r="H627" s="9"/>
      <c r="I627" s="9"/>
      <c r="J627" s="9"/>
      <c r="K627" s="9"/>
    </row>
    <row r="628" spans="1:11" hidden="1">
      <c r="A628" s="9"/>
      <c r="B628" s="9"/>
      <c r="C628" s="9"/>
      <c r="D628" s="9"/>
      <c r="E628" s="9"/>
      <c r="F628" s="9"/>
      <c r="G628" s="9"/>
      <c r="H628" s="9"/>
      <c r="I628" s="9"/>
      <c r="J628" s="9"/>
      <c r="K628" s="9"/>
    </row>
    <row r="629" spans="1:11" hidden="1">
      <c r="A629" s="9"/>
      <c r="B629" s="9"/>
      <c r="C629" s="9"/>
      <c r="D629" s="9"/>
      <c r="E629" s="9"/>
      <c r="F629" s="9"/>
      <c r="G629" s="9"/>
      <c r="H629" s="9"/>
      <c r="I629" s="9"/>
      <c r="J629" s="9"/>
      <c r="K629" s="9"/>
    </row>
    <row r="630" spans="1:11" hidden="1">
      <c r="A630" s="9"/>
      <c r="B630" s="9"/>
      <c r="C630" s="9"/>
      <c r="D630" s="9"/>
      <c r="E630" s="9"/>
      <c r="F630" s="9"/>
      <c r="G630" s="9"/>
      <c r="H630" s="9"/>
      <c r="I630" s="9"/>
      <c r="J630" s="9"/>
      <c r="K630" s="9"/>
    </row>
    <row r="631" spans="1:11" hidden="1">
      <c r="A631" s="9"/>
      <c r="B631" s="9"/>
      <c r="C631" s="9"/>
      <c r="D631" s="9"/>
      <c r="E631" s="9"/>
      <c r="F631" s="9"/>
      <c r="G631" s="9"/>
      <c r="H631" s="9"/>
      <c r="I631" s="9"/>
      <c r="J631" s="9"/>
      <c r="K631" s="9"/>
    </row>
    <row r="632" spans="1:11" hidden="1">
      <c r="A632" s="9"/>
      <c r="B632" s="9"/>
      <c r="C632" s="9"/>
      <c r="D632" s="9"/>
      <c r="E632" s="9"/>
      <c r="F632" s="9"/>
      <c r="G632" s="9"/>
      <c r="H632" s="9"/>
      <c r="I632" s="9"/>
      <c r="J632" s="9"/>
      <c r="K632" s="9"/>
    </row>
    <row r="633" spans="1:11" hidden="1">
      <c r="A633" s="9"/>
      <c r="B633" s="9"/>
      <c r="C633" s="9"/>
      <c r="D633" s="9"/>
      <c r="E633" s="9"/>
      <c r="F633" s="9"/>
      <c r="G633" s="9"/>
      <c r="H633" s="9"/>
      <c r="I633" s="9"/>
      <c r="J633" s="9"/>
      <c r="K633" s="9"/>
    </row>
    <row r="634" spans="1:11" hidden="1">
      <c r="A634" s="9"/>
      <c r="B634" s="9"/>
      <c r="C634" s="9"/>
      <c r="D634" s="9"/>
      <c r="E634" s="9"/>
      <c r="F634" s="9"/>
      <c r="G634" s="9"/>
      <c r="H634" s="9"/>
      <c r="I634" s="9"/>
      <c r="J634" s="9"/>
      <c r="K634" s="9"/>
    </row>
    <row r="635" spans="1:11" hidden="1">
      <c r="A635" s="9"/>
      <c r="B635" s="9"/>
      <c r="C635" s="9"/>
      <c r="D635" s="9"/>
      <c r="E635" s="9"/>
      <c r="F635" s="9"/>
      <c r="G635" s="9"/>
      <c r="H635" s="9"/>
      <c r="I635" s="9"/>
      <c r="J635" s="9"/>
      <c r="K635" s="9"/>
    </row>
    <row r="636" spans="1:11" hidden="1">
      <c r="A636" s="9"/>
      <c r="B636" s="9"/>
      <c r="C636" s="9"/>
      <c r="D636" s="9"/>
      <c r="E636" s="9"/>
      <c r="F636" s="9"/>
      <c r="G636" s="9"/>
      <c r="H636" s="9"/>
      <c r="I636" s="9"/>
      <c r="J636" s="9"/>
      <c r="K636" s="9"/>
    </row>
    <row r="637" spans="1:11" hidden="1">
      <c r="A637" s="9"/>
      <c r="B637" s="9"/>
      <c r="C637" s="9"/>
      <c r="D637" s="9"/>
      <c r="E637" s="9"/>
      <c r="F637" s="9"/>
      <c r="G637" s="9"/>
      <c r="H637" s="9"/>
      <c r="I637" s="9"/>
      <c r="J637" s="9"/>
      <c r="K637" s="9"/>
    </row>
    <row r="638" spans="1:11" hidden="1">
      <c r="A638" s="9"/>
      <c r="B638" s="9"/>
      <c r="C638" s="9"/>
      <c r="D638" s="9"/>
      <c r="E638" s="9"/>
      <c r="F638" s="9"/>
      <c r="G638" s="9"/>
      <c r="H638" s="9"/>
      <c r="I638" s="9"/>
      <c r="J638" s="9"/>
      <c r="K638" s="9"/>
    </row>
    <row r="639" spans="1:11" hidden="1">
      <c r="A639" s="9"/>
      <c r="B639" s="9"/>
      <c r="C639" s="9"/>
      <c r="D639" s="9"/>
      <c r="E639" s="9"/>
      <c r="F639" s="9"/>
      <c r="G639" s="9"/>
      <c r="H639" s="9"/>
      <c r="I639" s="9"/>
      <c r="J639" s="9"/>
      <c r="K639" s="9"/>
    </row>
    <row r="640" spans="1:11" hidden="1">
      <c r="A640" s="9"/>
      <c r="B640" s="9"/>
      <c r="C640" s="9"/>
      <c r="D640" s="9"/>
      <c r="E640" s="9"/>
      <c r="F640" s="9"/>
      <c r="G640" s="9"/>
      <c r="H640" s="9"/>
      <c r="I640" s="9"/>
      <c r="J640" s="9"/>
      <c r="K640" s="9"/>
    </row>
    <row r="641" spans="1:11" hidden="1">
      <c r="A641" s="9"/>
      <c r="B641" s="9"/>
      <c r="C641" s="9"/>
      <c r="D641" s="9"/>
      <c r="E641" s="9"/>
      <c r="F641" s="9"/>
      <c r="G641" s="9"/>
      <c r="H641" s="9"/>
      <c r="I641" s="9"/>
      <c r="J641" s="9"/>
      <c r="K641" s="9"/>
    </row>
    <row r="642" spans="1:11" hidden="1">
      <c r="A642" s="9"/>
      <c r="B642" s="9"/>
      <c r="C642" s="9"/>
      <c r="D642" s="9"/>
      <c r="E642" s="9"/>
      <c r="F642" s="9"/>
      <c r="G642" s="9"/>
      <c r="H642" s="9"/>
      <c r="I642" s="9"/>
      <c r="J642" s="9"/>
      <c r="K642" s="9"/>
    </row>
    <row r="643" spans="1:11" hidden="1">
      <c r="A643" s="9"/>
      <c r="B643" s="9"/>
      <c r="C643" s="9"/>
      <c r="D643" s="9"/>
      <c r="E643" s="9"/>
      <c r="F643" s="9"/>
      <c r="G643" s="9"/>
      <c r="H643" s="9"/>
      <c r="I643" s="9"/>
      <c r="J643" s="9"/>
      <c r="K643" s="9"/>
    </row>
    <row r="644" spans="1:11" hidden="1">
      <c r="A644" s="9"/>
      <c r="B644" s="9"/>
      <c r="C644" s="9"/>
      <c r="D644" s="9"/>
      <c r="E644" s="9"/>
      <c r="F644" s="9"/>
      <c r="G644" s="9"/>
      <c r="H644" s="9"/>
      <c r="I644" s="9"/>
      <c r="J644" s="9"/>
      <c r="K644" s="9"/>
    </row>
    <row r="645" spans="1:11" hidden="1">
      <c r="A645" s="9"/>
      <c r="B645" s="9"/>
      <c r="C645" s="9"/>
      <c r="D645" s="9"/>
      <c r="E645" s="9"/>
      <c r="F645" s="9"/>
      <c r="G645" s="9"/>
      <c r="H645" s="9"/>
      <c r="I645" s="9"/>
      <c r="J645" s="9"/>
      <c r="K645" s="9"/>
    </row>
    <row r="646" spans="1:11" hidden="1">
      <c r="A646" s="9"/>
      <c r="B646" s="9"/>
      <c r="C646" s="9"/>
      <c r="D646" s="9"/>
      <c r="E646" s="9"/>
      <c r="F646" s="9"/>
      <c r="G646" s="9"/>
      <c r="H646" s="9"/>
      <c r="I646" s="9"/>
      <c r="J646" s="9"/>
      <c r="K646" s="9"/>
    </row>
    <row r="647" spans="1:11" hidden="1">
      <c r="A647" s="9"/>
      <c r="B647" s="9"/>
      <c r="C647" s="9"/>
      <c r="D647" s="9"/>
      <c r="E647" s="9"/>
      <c r="F647" s="9"/>
      <c r="G647" s="9"/>
      <c r="H647" s="9"/>
      <c r="I647" s="9"/>
      <c r="J647" s="9"/>
      <c r="K647" s="9"/>
    </row>
    <row r="648" spans="1:11" hidden="1">
      <c r="A648" s="9"/>
      <c r="B648" s="9"/>
      <c r="C648" s="9"/>
      <c r="D648" s="9"/>
      <c r="E648" s="9"/>
      <c r="F648" s="9"/>
      <c r="G648" s="9"/>
      <c r="H648" s="9"/>
      <c r="I648" s="9"/>
      <c r="J648" s="9"/>
      <c r="K648" s="9"/>
    </row>
    <row r="649" spans="1:11" hidden="1">
      <c r="A649" s="9"/>
      <c r="B649" s="9"/>
      <c r="C649" s="9"/>
      <c r="D649" s="9"/>
      <c r="E649" s="9"/>
      <c r="F649" s="9"/>
      <c r="G649" s="9"/>
      <c r="H649" s="9"/>
      <c r="I649" s="9"/>
      <c r="J649" s="9"/>
      <c r="K649" s="9"/>
    </row>
    <row r="650" spans="1:11" hidden="1">
      <c r="A650" s="9"/>
      <c r="B650" s="9"/>
      <c r="C650" s="9"/>
      <c r="D650" s="9"/>
      <c r="E650" s="9"/>
      <c r="F650" s="9"/>
      <c r="G650" s="9"/>
      <c r="H650" s="9"/>
      <c r="I650" s="9"/>
      <c r="J650" s="9"/>
      <c r="K650" s="9"/>
    </row>
    <row r="651" spans="1:11" hidden="1">
      <c r="A651" s="9"/>
      <c r="B651" s="9"/>
      <c r="C651" s="9"/>
      <c r="D651" s="9"/>
      <c r="E651" s="9"/>
      <c r="F651" s="9"/>
      <c r="G651" s="9"/>
      <c r="H651" s="9"/>
      <c r="I651" s="9"/>
      <c r="J651" s="9"/>
      <c r="K651" s="9"/>
    </row>
    <row r="652" spans="1:11" hidden="1">
      <c r="A652" s="9"/>
      <c r="B652" s="9"/>
      <c r="C652" s="9"/>
      <c r="D652" s="9"/>
      <c r="E652" s="9"/>
      <c r="F652" s="9"/>
      <c r="G652" s="9"/>
      <c r="H652" s="9"/>
      <c r="I652" s="9"/>
      <c r="J652" s="9"/>
      <c r="K652" s="9"/>
    </row>
    <row r="653" spans="1:11" hidden="1">
      <c r="A653" s="9"/>
      <c r="B653" s="9"/>
      <c r="C653" s="9"/>
      <c r="D653" s="9"/>
      <c r="E653" s="9"/>
      <c r="F653" s="9"/>
      <c r="G653" s="9"/>
      <c r="H653" s="9"/>
      <c r="I653" s="9"/>
      <c r="J653" s="9"/>
      <c r="K653" s="9"/>
    </row>
    <row r="654" spans="1:11" hidden="1">
      <c r="A654" s="9"/>
      <c r="B654" s="9"/>
      <c r="C654" s="9"/>
      <c r="D654" s="9"/>
      <c r="E654" s="9"/>
      <c r="F654" s="9"/>
      <c r="G654" s="9"/>
      <c r="H654" s="9"/>
      <c r="I654" s="9"/>
      <c r="J654" s="9"/>
      <c r="K654" s="9"/>
    </row>
    <row r="655" spans="1:11" hidden="1">
      <c r="A655" s="9"/>
      <c r="B655" s="9"/>
      <c r="C655" s="9"/>
      <c r="D655" s="9"/>
      <c r="E655" s="9"/>
      <c r="F655" s="9"/>
      <c r="G655" s="9"/>
      <c r="H655" s="9"/>
      <c r="I655" s="9"/>
      <c r="J655" s="9"/>
      <c r="K655" s="9"/>
    </row>
    <row r="656" spans="1:11" hidden="1">
      <c r="A656" s="9"/>
      <c r="B656" s="9"/>
      <c r="C656" s="9"/>
      <c r="D656" s="9"/>
      <c r="E656" s="9"/>
      <c r="F656" s="9"/>
      <c r="G656" s="9"/>
      <c r="H656" s="9"/>
      <c r="I656" s="9"/>
      <c r="J656" s="9"/>
      <c r="K656" s="9"/>
    </row>
    <row r="657" spans="1:11" hidden="1">
      <c r="A657" s="9"/>
      <c r="B657" s="9"/>
      <c r="C657" s="9"/>
      <c r="D657" s="9"/>
      <c r="E657" s="9"/>
      <c r="F657" s="9"/>
      <c r="G657" s="9"/>
      <c r="H657" s="9"/>
      <c r="I657" s="9"/>
      <c r="J657" s="9"/>
      <c r="K657" s="9"/>
    </row>
    <row r="658" spans="1:11" hidden="1">
      <c r="A658" s="9"/>
      <c r="B658" s="9"/>
      <c r="C658" s="9"/>
      <c r="D658" s="9"/>
      <c r="E658" s="9"/>
      <c r="F658" s="9"/>
      <c r="G658" s="9"/>
      <c r="H658" s="9"/>
      <c r="I658" s="9"/>
      <c r="J658" s="9"/>
      <c r="K658" s="9"/>
    </row>
    <row r="659" spans="1:11" hidden="1">
      <c r="A659" s="9"/>
      <c r="B659" s="9"/>
      <c r="C659" s="9"/>
      <c r="D659" s="9"/>
      <c r="E659" s="9"/>
      <c r="F659" s="9"/>
      <c r="G659" s="9"/>
      <c r="H659" s="9"/>
      <c r="I659" s="9"/>
      <c r="J659" s="9"/>
      <c r="K659" s="9"/>
    </row>
    <row r="660" spans="1:11" hidden="1">
      <c r="A660" s="9"/>
      <c r="B660" s="9"/>
      <c r="C660" s="9"/>
      <c r="D660" s="9"/>
      <c r="E660" s="9"/>
      <c r="F660" s="9"/>
      <c r="G660" s="9"/>
      <c r="H660" s="9"/>
      <c r="I660" s="9"/>
      <c r="J660" s="9"/>
      <c r="K660" s="9"/>
    </row>
    <row r="661" spans="1:11" hidden="1">
      <c r="A661" s="9"/>
      <c r="B661" s="9"/>
      <c r="C661" s="9"/>
      <c r="D661" s="9"/>
      <c r="E661" s="9"/>
      <c r="F661" s="9"/>
      <c r="G661" s="9"/>
      <c r="H661" s="9"/>
      <c r="I661" s="9"/>
      <c r="J661" s="9"/>
      <c r="K661" s="9"/>
    </row>
    <row r="662" spans="1:11" hidden="1">
      <c r="A662" s="9"/>
      <c r="B662" s="9"/>
      <c r="C662" s="9"/>
      <c r="D662" s="9"/>
      <c r="E662" s="9"/>
      <c r="F662" s="9"/>
      <c r="G662" s="9"/>
      <c r="H662" s="9"/>
      <c r="I662" s="9"/>
      <c r="J662" s="9"/>
      <c r="K662" s="9"/>
    </row>
    <row r="663" spans="1:11" hidden="1">
      <c r="A663" s="9"/>
      <c r="B663" s="9"/>
      <c r="C663" s="9"/>
      <c r="D663" s="9"/>
      <c r="E663" s="9"/>
      <c r="F663" s="9"/>
      <c r="G663" s="9"/>
      <c r="H663" s="9"/>
      <c r="I663" s="9"/>
      <c r="J663" s="9"/>
      <c r="K663" s="9"/>
    </row>
    <row r="664" spans="1:11" hidden="1">
      <c r="A664" s="9"/>
      <c r="B664" s="9"/>
      <c r="C664" s="9"/>
      <c r="D664" s="9"/>
      <c r="E664" s="9"/>
      <c r="F664" s="9"/>
      <c r="G664" s="9"/>
      <c r="H664" s="9"/>
      <c r="I664" s="9"/>
      <c r="J664" s="9"/>
      <c r="K664" s="9"/>
    </row>
    <row r="665" spans="1:11" hidden="1">
      <c r="A665" s="9"/>
      <c r="B665" s="9"/>
      <c r="C665" s="9"/>
      <c r="D665" s="9"/>
      <c r="E665" s="9"/>
      <c r="F665" s="9"/>
      <c r="G665" s="9"/>
      <c r="H665" s="9"/>
      <c r="I665" s="9"/>
      <c r="J665" s="9"/>
      <c r="K665" s="9"/>
    </row>
    <row r="666" spans="1:11" hidden="1">
      <c r="A666" s="9"/>
      <c r="B666" s="9"/>
      <c r="C666" s="9"/>
      <c r="D666" s="9"/>
      <c r="E666" s="9"/>
      <c r="F666" s="9"/>
      <c r="G666" s="9"/>
      <c r="H666" s="9"/>
      <c r="I666" s="9"/>
      <c r="J666" s="9"/>
      <c r="K666" s="9"/>
    </row>
    <row r="667" spans="1:11" hidden="1">
      <c r="A667" s="9"/>
      <c r="B667" s="9"/>
      <c r="C667" s="9"/>
      <c r="D667" s="9"/>
      <c r="E667" s="9"/>
      <c r="F667" s="9"/>
      <c r="G667" s="9"/>
      <c r="H667" s="9"/>
      <c r="I667" s="9"/>
      <c r="J667" s="9"/>
      <c r="K667" s="9"/>
    </row>
    <row r="668" spans="1:11" hidden="1">
      <c r="A668" s="9"/>
      <c r="B668" s="9"/>
      <c r="C668" s="9"/>
      <c r="D668" s="9"/>
      <c r="E668" s="9"/>
      <c r="F668" s="9"/>
      <c r="G668" s="9"/>
      <c r="H668" s="9"/>
      <c r="I668" s="9"/>
      <c r="J668" s="9"/>
      <c r="K668" s="9"/>
    </row>
    <row r="669" spans="1:11" hidden="1">
      <c r="A669" s="9"/>
      <c r="B669" s="9"/>
      <c r="C669" s="9"/>
      <c r="D669" s="9"/>
      <c r="E669" s="9"/>
      <c r="F669" s="9"/>
      <c r="G669" s="9"/>
      <c r="H669" s="9"/>
      <c r="I669" s="9"/>
      <c r="J669" s="9"/>
      <c r="K669" s="9"/>
    </row>
    <row r="670" spans="1:11" hidden="1">
      <c r="A670" s="9"/>
      <c r="B670" s="9"/>
      <c r="C670" s="9"/>
      <c r="D670" s="9"/>
      <c r="E670" s="9"/>
      <c r="F670" s="9"/>
      <c r="G670" s="9"/>
      <c r="H670" s="9"/>
      <c r="I670" s="9"/>
      <c r="J670" s="9"/>
      <c r="K670" s="9"/>
    </row>
    <row r="671" spans="1:11" hidden="1">
      <c r="A671" s="9"/>
      <c r="B671" s="9"/>
      <c r="C671" s="9"/>
      <c r="D671" s="9"/>
      <c r="E671" s="9"/>
      <c r="F671" s="9"/>
      <c r="G671" s="9"/>
      <c r="H671" s="9"/>
      <c r="I671" s="9"/>
      <c r="J671" s="9"/>
      <c r="K671" s="9"/>
    </row>
    <row r="672" spans="1:11" hidden="1">
      <c r="A672" s="9"/>
      <c r="B672" s="9"/>
      <c r="C672" s="9"/>
      <c r="D672" s="9"/>
      <c r="E672" s="9"/>
      <c r="F672" s="9"/>
      <c r="G672" s="9"/>
      <c r="H672" s="9"/>
      <c r="I672" s="9"/>
      <c r="J672" s="9"/>
      <c r="K672" s="9"/>
    </row>
    <row r="673" spans="1:11" hidden="1">
      <c r="A673" s="9"/>
      <c r="B673" s="9"/>
      <c r="C673" s="9"/>
      <c r="D673" s="9"/>
      <c r="E673" s="9"/>
      <c r="F673" s="9"/>
      <c r="G673" s="9"/>
      <c r="H673" s="9"/>
      <c r="I673" s="9"/>
      <c r="J673" s="9"/>
      <c r="K673" s="9"/>
    </row>
    <row r="674" spans="1:11" hidden="1">
      <c r="A674" s="9"/>
      <c r="B674" s="9"/>
      <c r="C674" s="9"/>
      <c r="D674" s="9"/>
      <c r="E674" s="9"/>
      <c r="F674" s="9"/>
      <c r="G674" s="9"/>
      <c r="H674" s="9"/>
      <c r="I674" s="9"/>
      <c r="J674" s="9"/>
      <c r="K674" s="9"/>
    </row>
    <row r="675" spans="1:11" hidden="1">
      <c r="A675" s="9"/>
      <c r="B675" s="9"/>
      <c r="C675" s="9"/>
      <c r="D675" s="9"/>
      <c r="E675" s="9"/>
      <c r="F675" s="9"/>
      <c r="G675" s="9"/>
      <c r="H675" s="9"/>
      <c r="I675" s="9"/>
      <c r="J675" s="9"/>
      <c r="K675" s="9"/>
    </row>
    <row r="676" spans="1:11" hidden="1">
      <c r="A676" s="9"/>
      <c r="B676" s="9"/>
      <c r="C676" s="9"/>
      <c r="D676" s="9"/>
      <c r="E676" s="9"/>
      <c r="F676" s="9"/>
      <c r="G676" s="9"/>
      <c r="H676" s="9"/>
      <c r="I676" s="9"/>
      <c r="J676" s="9"/>
      <c r="K676" s="9"/>
    </row>
    <row r="677" spans="1:11" hidden="1">
      <c r="A677" s="9"/>
      <c r="B677" s="9"/>
      <c r="C677" s="9"/>
      <c r="D677" s="9"/>
      <c r="E677" s="9"/>
      <c r="F677" s="9"/>
      <c r="G677" s="9"/>
      <c r="H677" s="9"/>
      <c r="I677" s="9"/>
      <c r="J677" s="9"/>
      <c r="K677" s="9"/>
    </row>
    <row r="678" spans="1:11" hidden="1">
      <c r="A678" s="9"/>
      <c r="B678" s="9"/>
      <c r="C678" s="9"/>
      <c r="D678" s="9"/>
      <c r="E678" s="9"/>
      <c r="F678" s="9"/>
      <c r="G678" s="9"/>
      <c r="H678" s="9"/>
      <c r="I678" s="9"/>
      <c r="J678" s="9"/>
      <c r="K678" s="9"/>
    </row>
    <row r="679" spans="1:11" hidden="1">
      <c r="A679" s="9"/>
      <c r="B679" s="9"/>
      <c r="C679" s="9"/>
      <c r="D679" s="9"/>
      <c r="E679" s="9"/>
      <c r="F679" s="9"/>
      <c r="G679" s="9"/>
      <c r="H679" s="9"/>
      <c r="I679" s="9"/>
      <c r="J679" s="9"/>
      <c r="K679" s="9"/>
    </row>
    <row r="680" spans="1:11" hidden="1">
      <c r="A680" s="9"/>
      <c r="B680" s="9"/>
      <c r="C680" s="9"/>
      <c r="D680" s="9"/>
      <c r="E680" s="9"/>
      <c r="F680" s="9"/>
      <c r="G680" s="9"/>
      <c r="H680" s="9"/>
      <c r="I680" s="9"/>
      <c r="J680" s="9"/>
      <c r="K680" s="9"/>
    </row>
    <row r="681" spans="1:11" hidden="1">
      <c r="A681" s="9"/>
      <c r="B681" s="9"/>
      <c r="C681" s="9"/>
      <c r="D681" s="9"/>
      <c r="E681" s="9"/>
      <c r="F681" s="9"/>
      <c r="G681" s="9"/>
      <c r="H681" s="9"/>
      <c r="I681" s="9"/>
      <c r="J681" s="9"/>
      <c r="K681" s="9"/>
    </row>
    <row r="682" spans="1:11" hidden="1">
      <c r="A682" s="9"/>
      <c r="B682" s="9"/>
      <c r="C682" s="9"/>
      <c r="D682" s="9"/>
      <c r="E682" s="9"/>
      <c r="F682" s="9"/>
      <c r="G682" s="9"/>
      <c r="H682" s="9"/>
      <c r="I682" s="9"/>
      <c r="J682" s="9"/>
      <c r="K682" s="9"/>
    </row>
    <row r="683" spans="1:11" hidden="1">
      <c r="A683" s="9"/>
      <c r="B683" s="9"/>
      <c r="C683" s="9"/>
      <c r="D683" s="9"/>
      <c r="E683" s="9"/>
      <c r="F683" s="9"/>
      <c r="G683" s="9"/>
      <c r="H683" s="9"/>
      <c r="I683" s="9"/>
      <c r="J683" s="9"/>
      <c r="K683" s="9"/>
    </row>
    <row r="684" spans="1:11" hidden="1">
      <c r="A684" s="9"/>
      <c r="B684" s="9"/>
      <c r="C684" s="9"/>
      <c r="D684" s="9"/>
      <c r="E684" s="9"/>
      <c r="F684" s="9"/>
      <c r="G684" s="9"/>
      <c r="H684" s="9"/>
      <c r="I684" s="9"/>
      <c r="J684" s="9"/>
      <c r="K684" s="9"/>
    </row>
    <row r="685" spans="1:11" hidden="1">
      <c r="A685" s="9"/>
      <c r="B685" s="9"/>
      <c r="C685" s="9"/>
      <c r="D685" s="9"/>
      <c r="E685" s="9"/>
      <c r="F685" s="9"/>
      <c r="G685" s="9"/>
      <c r="H685" s="9"/>
      <c r="I685" s="9"/>
      <c r="J685" s="9"/>
      <c r="K685" s="9"/>
    </row>
    <row r="686" spans="1:11" hidden="1">
      <c r="A686" s="9"/>
      <c r="B686" s="9"/>
      <c r="C686" s="9"/>
      <c r="D686" s="9"/>
      <c r="E686" s="9"/>
      <c r="F686" s="9"/>
      <c r="G686" s="9"/>
      <c r="H686" s="9"/>
      <c r="I686" s="9"/>
      <c r="J686" s="9"/>
      <c r="K686" s="9"/>
    </row>
    <row r="687" spans="1:11" hidden="1">
      <c r="A687" s="9"/>
      <c r="B687" s="9"/>
      <c r="C687" s="9"/>
      <c r="D687" s="9"/>
      <c r="E687" s="9"/>
      <c r="F687" s="9"/>
      <c r="G687" s="9"/>
      <c r="H687" s="9"/>
      <c r="I687" s="9"/>
      <c r="J687" s="9"/>
      <c r="K687" s="9"/>
    </row>
    <row r="688" spans="1:11" hidden="1">
      <c r="A688" s="9"/>
      <c r="B688" s="9"/>
      <c r="C688" s="9"/>
      <c r="D688" s="9"/>
      <c r="E688" s="9"/>
      <c r="F688" s="9"/>
      <c r="G688" s="9"/>
      <c r="H688" s="9"/>
      <c r="I688" s="9"/>
      <c r="J688" s="9"/>
      <c r="K688" s="9"/>
    </row>
    <row r="689" spans="1:11" hidden="1">
      <c r="A689" s="9"/>
      <c r="B689" s="9"/>
      <c r="C689" s="9"/>
      <c r="D689" s="9"/>
      <c r="E689" s="9"/>
      <c r="F689" s="9"/>
      <c r="G689" s="9"/>
      <c r="H689" s="9"/>
      <c r="I689" s="9"/>
      <c r="J689" s="9"/>
      <c r="K689" s="9"/>
    </row>
    <row r="690" spans="1:11" hidden="1">
      <c r="A690" s="9"/>
      <c r="B690" s="9"/>
      <c r="C690" s="9"/>
      <c r="D690" s="9"/>
      <c r="E690" s="9"/>
      <c r="F690" s="9"/>
      <c r="G690" s="9"/>
      <c r="H690" s="9"/>
      <c r="I690" s="9"/>
      <c r="J690" s="9"/>
      <c r="K690" s="9"/>
    </row>
    <row r="691" spans="1:11" hidden="1">
      <c r="A691" s="9"/>
      <c r="B691" s="9"/>
      <c r="C691" s="9"/>
      <c r="D691" s="9"/>
      <c r="E691" s="9"/>
      <c r="F691" s="9"/>
      <c r="G691" s="9"/>
      <c r="H691" s="9"/>
      <c r="I691" s="9"/>
      <c r="J691" s="9"/>
      <c r="K691" s="9"/>
    </row>
    <row r="692" spans="1:11" hidden="1">
      <c r="A692" s="9"/>
      <c r="B692" s="9"/>
      <c r="C692" s="9"/>
      <c r="D692" s="9"/>
      <c r="E692" s="9"/>
      <c r="F692" s="9"/>
      <c r="G692" s="9"/>
      <c r="H692" s="9"/>
      <c r="I692" s="9"/>
      <c r="J692" s="9"/>
      <c r="K692" s="9"/>
    </row>
    <row r="693" spans="1:11" hidden="1">
      <c r="A693" s="9"/>
      <c r="B693" s="9"/>
      <c r="C693" s="9"/>
      <c r="D693" s="9"/>
      <c r="E693" s="9"/>
      <c r="F693" s="9"/>
      <c r="G693" s="9"/>
      <c r="H693" s="9"/>
      <c r="I693" s="9"/>
      <c r="J693" s="9"/>
      <c r="K693" s="9"/>
    </row>
    <row r="694" spans="1:11" hidden="1">
      <c r="A694" s="9"/>
      <c r="B694" s="9"/>
      <c r="C694" s="9"/>
      <c r="D694" s="9"/>
      <c r="E694" s="9"/>
      <c r="F694" s="9"/>
      <c r="G694" s="9"/>
      <c r="H694" s="9"/>
      <c r="I694" s="9"/>
      <c r="J694" s="9"/>
      <c r="K694" s="9"/>
    </row>
    <row r="695" spans="1:11" hidden="1">
      <c r="A695" s="9"/>
      <c r="B695" s="9"/>
      <c r="C695" s="9"/>
      <c r="D695" s="9"/>
      <c r="E695" s="9"/>
      <c r="F695" s="9"/>
      <c r="G695" s="9"/>
      <c r="H695" s="9"/>
      <c r="I695" s="9"/>
      <c r="J695" s="9"/>
      <c r="K695" s="9"/>
    </row>
    <row r="696" spans="1:11" hidden="1">
      <c r="A696" s="9"/>
      <c r="B696" s="9"/>
      <c r="C696" s="9"/>
      <c r="D696" s="9"/>
      <c r="E696" s="9"/>
      <c r="F696" s="9"/>
      <c r="G696" s="9"/>
      <c r="H696" s="9"/>
      <c r="I696" s="9"/>
      <c r="J696" s="9"/>
      <c r="K696" s="9"/>
    </row>
    <row r="697" spans="1:11" hidden="1">
      <c r="A697" s="9"/>
      <c r="B697" s="9"/>
      <c r="C697" s="9"/>
      <c r="D697" s="9"/>
      <c r="E697" s="9"/>
      <c r="F697" s="9"/>
      <c r="G697" s="9"/>
      <c r="H697" s="9"/>
      <c r="I697" s="9"/>
      <c r="J697" s="9"/>
      <c r="K697" s="9"/>
    </row>
    <row r="698" spans="1:11" hidden="1">
      <c r="A698" s="9"/>
      <c r="B698" s="9"/>
      <c r="C698" s="9"/>
      <c r="D698" s="9"/>
      <c r="E698" s="9"/>
      <c r="F698" s="9"/>
      <c r="G698" s="9"/>
      <c r="H698" s="9"/>
      <c r="I698" s="9"/>
      <c r="J698" s="9"/>
      <c r="K698" s="9"/>
    </row>
    <row r="699" spans="1:11" hidden="1">
      <c r="A699" s="9"/>
      <c r="B699" s="9"/>
      <c r="C699" s="9"/>
      <c r="D699" s="9"/>
      <c r="E699" s="9"/>
      <c r="F699" s="9"/>
      <c r="G699" s="9"/>
      <c r="H699" s="9"/>
      <c r="I699" s="9"/>
      <c r="J699" s="9"/>
      <c r="K699" s="9"/>
    </row>
    <row r="700" spans="1:11" hidden="1">
      <c r="A700" s="9"/>
      <c r="B700" s="9"/>
      <c r="C700" s="9"/>
      <c r="D700" s="9"/>
      <c r="E700" s="9"/>
      <c r="F700" s="9"/>
      <c r="G700" s="9"/>
      <c r="H700" s="9"/>
      <c r="I700" s="9"/>
      <c r="J700" s="9"/>
      <c r="K700" s="9"/>
    </row>
    <row r="701" spans="1:11" hidden="1">
      <c r="A701" s="9"/>
      <c r="B701" s="9"/>
      <c r="C701" s="9"/>
      <c r="D701" s="9"/>
      <c r="E701" s="9"/>
      <c r="F701" s="9"/>
      <c r="G701" s="9"/>
      <c r="H701" s="9"/>
      <c r="I701" s="9"/>
      <c r="J701" s="9"/>
      <c r="K701" s="9"/>
    </row>
    <row r="702" spans="1:11" hidden="1">
      <c r="A702" s="9"/>
      <c r="B702" s="9"/>
      <c r="C702" s="9"/>
      <c r="D702" s="9"/>
      <c r="E702" s="9"/>
      <c r="F702" s="9"/>
      <c r="G702" s="9"/>
      <c r="H702" s="9"/>
      <c r="I702" s="9"/>
      <c r="J702" s="9"/>
      <c r="K702" s="9"/>
    </row>
    <row r="703" spans="1:11" hidden="1">
      <c r="A703" s="9"/>
      <c r="B703" s="9"/>
      <c r="C703" s="9"/>
      <c r="D703" s="9"/>
      <c r="E703" s="9"/>
      <c r="F703" s="9"/>
      <c r="G703" s="9"/>
      <c r="H703" s="9"/>
      <c r="I703" s="9"/>
      <c r="J703" s="9"/>
      <c r="K703" s="9"/>
    </row>
    <row r="704" spans="1:11" hidden="1">
      <c r="A704" s="9"/>
      <c r="B704" s="9"/>
      <c r="C704" s="9"/>
      <c r="D704" s="9"/>
      <c r="E704" s="9"/>
      <c r="F704" s="9"/>
      <c r="G704" s="9"/>
      <c r="H704" s="9"/>
      <c r="I704" s="9"/>
      <c r="J704" s="9"/>
      <c r="K704" s="9"/>
    </row>
    <row r="705" spans="1:11" hidden="1">
      <c r="A705" s="9"/>
      <c r="B705" s="9"/>
      <c r="C705" s="9"/>
      <c r="D705" s="9"/>
      <c r="E705" s="9"/>
      <c r="F705" s="9"/>
      <c r="G705" s="9"/>
      <c r="H705" s="9"/>
      <c r="I705" s="9"/>
      <c r="J705" s="9"/>
      <c r="K705" s="9"/>
    </row>
    <row r="706" spans="1:11" hidden="1">
      <c r="A706" s="9"/>
      <c r="B706" s="9"/>
      <c r="C706" s="9"/>
      <c r="D706" s="9"/>
      <c r="E706" s="9"/>
      <c r="F706" s="9"/>
      <c r="G706" s="9"/>
      <c r="H706" s="9"/>
      <c r="I706" s="9"/>
      <c r="J706" s="9"/>
      <c r="K706" s="9"/>
    </row>
    <row r="707" spans="1:11" hidden="1">
      <c r="A707" s="9"/>
      <c r="B707" s="9"/>
      <c r="C707" s="9"/>
      <c r="D707" s="9"/>
      <c r="E707" s="9"/>
      <c r="F707" s="9"/>
      <c r="G707" s="9"/>
      <c r="H707" s="9"/>
      <c r="I707" s="9"/>
      <c r="J707" s="9"/>
      <c r="K707" s="9"/>
    </row>
    <row r="708" spans="1:11" hidden="1">
      <c r="A708" s="9"/>
      <c r="B708" s="9"/>
      <c r="C708" s="9"/>
      <c r="D708" s="9"/>
      <c r="E708" s="9"/>
      <c r="F708" s="9"/>
      <c r="G708" s="9"/>
      <c r="H708" s="9"/>
      <c r="I708" s="9"/>
      <c r="J708" s="9"/>
      <c r="K708" s="9"/>
    </row>
    <row r="709" spans="1:11" hidden="1">
      <c r="A709" s="9"/>
      <c r="B709" s="9"/>
      <c r="C709" s="9"/>
      <c r="D709" s="9"/>
      <c r="E709" s="9"/>
      <c r="F709" s="9"/>
      <c r="G709" s="9"/>
      <c r="H709" s="9"/>
      <c r="I709" s="9"/>
      <c r="J709" s="9"/>
      <c r="K709" s="9"/>
    </row>
    <row r="710" spans="1:11" hidden="1">
      <c r="A710" s="9"/>
      <c r="B710" s="9"/>
      <c r="C710" s="9"/>
      <c r="D710" s="9"/>
      <c r="E710" s="9"/>
      <c r="F710" s="9"/>
      <c r="G710" s="9"/>
      <c r="H710" s="9"/>
      <c r="I710" s="9"/>
      <c r="J710" s="9"/>
      <c r="K710" s="9"/>
    </row>
    <row r="711" spans="1:11" hidden="1">
      <c r="A711" s="9"/>
      <c r="B711" s="9"/>
      <c r="C711" s="9"/>
      <c r="D711" s="9"/>
      <c r="E711" s="9"/>
      <c r="F711" s="9"/>
      <c r="G711" s="9"/>
      <c r="H711" s="9"/>
      <c r="I711" s="9"/>
      <c r="J711" s="9"/>
      <c r="K711" s="9"/>
    </row>
    <row r="712" spans="1:11" hidden="1">
      <c r="A712" s="9"/>
      <c r="B712" s="9"/>
      <c r="C712" s="9"/>
      <c r="D712" s="9"/>
      <c r="E712" s="9"/>
      <c r="F712" s="9"/>
      <c r="G712" s="9"/>
      <c r="H712" s="9"/>
      <c r="I712" s="9"/>
      <c r="J712" s="9"/>
      <c r="K712" s="9"/>
    </row>
    <row r="713" spans="1:11" hidden="1">
      <c r="A713" s="9"/>
      <c r="B713" s="9"/>
      <c r="C713" s="9"/>
      <c r="D713" s="9"/>
      <c r="E713" s="9"/>
      <c r="F713" s="9"/>
      <c r="G713" s="9"/>
      <c r="H713" s="9"/>
      <c r="I713" s="9"/>
      <c r="J713" s="9"/>
      <c r="K713" s="9"/>
    </row>
    <row r="714" spans="1:11" hidden="1">
      <c r="A714" s="9"/>
      <c r="B714" s="9"/>
      <c r="C714" s="9"/>
      <c r="D714" s="9"/>
      <c r="E714" s="9"/>
      <c r="F714" s="9"/>
      <c r="G714" s="9"/>
      <c r="H714" s="9"/>
      <c r="I714" s="9"/>
      <c r="J714" s="9"/>
      <c r="K714" s="9"/>
    </row>
    <row r="715" spans="1:11" hidden="1">
      <c r="A715" s="9"/>
      <c r="B715" s="9"/>
      <c r="C715" s="9"/>
      <c r="D715" s="9"/>
      <c r="E715" s="9"/>
      <c r="F715" s="9"/>
      <c r="G715" s="9"/>
      <c r="H715" s="9"/>
      <c r="I715" s="9"/>
      <c r="J715" s="9"/>
      <c r="K715" s="9"/>
    </row>
    <row r="716" spans="1:11" hidden="1">
      <c r="A716" s="9"/>
      <c r="B716" s="9"/>
      <c r="C716" s="9"/>
      <c r="D716" s="9"/>
      <c r="E716" s="9"/>
      <c r="F716" s="9"/>
      <c r="G716" s="9"/>
      <c r="H716" s="9"/>
      <c r="I716" s="9"/>
      <c r="J716" s="9"/>
      <c r="K716" s="9"/>
    </row>
    <row r="717" spans="1:11" hidden="1">
      <c r="A717" s="9"/>
      <c r="B717" s="9"/>
      <c r="C717" s="9"/>
      <c r="D717" s="9"/>
      <c r="E717" s="9"/>
      <c r="F717" s="9"/>
      <c r="G717" s="9"/>
      <c r="H717" s="9"/>
      <c r="I717" s="9"/>
      <c r="J717" s="9"/>
      <c r="K717" s="9"/>
    </row>
    <row r="718" spans="1:11" hidden="1">
      <c r="A718" s="9"/>
      <c r="B718" s="9"/>
      <c r="C718" s="9"/>
      <c r="D718" s="9"/>
      <c r="E718" s="9"/>
      <c r="F718" s="9"/>
      <c r="G718" s="9"/>
      <c r="H718" s="9"/>
      <c r="I718" s="9"/>
      <c r="J718" s="9"/>
      <c r="K718" s="9"/>
    </row>
    <row r="719" spans="1:11" hidden="1">
      <c r="A719" s="9"/>
      <c r="B719" s="9"/>
      <c r="C719" s="9"/>
      <c r="D719" s="9"/>
      <c r="E719" s="9"/>
      <c r="F719" s="9"/>
      <c r="G719" s="9"/>
      <c r="H719" s="9"/>
      <c r="I719" s="9"/>
      <c r="J719" s="9"/>
      <c r="K719" s="9"/>
    </row>
    <row r="720" spans="1:11" hidden="1">
      <c r="A720" s="9"/>
      <c r="B720" s="9"/>
      <c r="C720" s="9"/>
      <c r="D720" s="9"/>
      <c r="E720" s="9"/>
      <c r="F720" s="9"/>
      <c r="G720" s="9"/>
      <c r="H720" s="9"/>
      <c r="I720" s="9"/>
      <c r="J720" s="9"/>
      <c r="K720" s="9"/>
    </row>
    <row r="721" spans="1:11" hidden="1">
      <c r="A721" s="9"/>
      <c r="B721" s="9"/>
      <c r="C721" s="9"/>
      <c r="D721" s="9"/>
      <c r="E721" s="9"/>
      <c r="F721" s="9"/>
      <c r="G721" s="9"/>
      <c r="H721" s="9"/>
      <c r="I721" s="9"/>
      <c r="J721" s="9"/>
      <c r="K721" s="9"/>
    </row>
    <row r="722" spans="1:11" hidden="1">
      <c r="A722" s="9"/>
      <c r="B722" s="9"/>
      <c r="C722" s="9"/>
      <c r="D722" s="9"/>
      <c r="E722" s="9"/>
      <c r="F722" s="9"/>
      <c r="G722" s="9"/>
      <c r="H722" s="9"/>
      <c r="I722" s="9"/>
      <c r="J722" s="9"/>
      <c r="K722" s="9"/>
    </row>
    <row r="723" spans="1:11" hidden="1">
      <c r="A723" s="9"/>
      <c r="B723" s="9"/>
      <c r="C723" s="9"/>
      <c r="D723" s="9"/>
      <c r="E723" s="9"/>
      <c r="F723" s="9"/>
      <c r="G723" s="9"/>
      <c r="H723" s="9"/>
      <c r="I723" s="9"/>
      <c r="J723" s="9"/>
      <c r="K723" s="9"/>
    </row>
    <row r="724" spans="1:11" hidden="1">
      <c r="A724" s="9"/>
      <c r="B724" s="9"/>
      <c r="C724" s="9"/>
      <c r="D724" s="9"/>
      <c r="E724" s="9"/>
      <c r="F724" s="9"/>
      <c r="G724" s="9"/>
      <c r="H724" s="9"/>
      <c r="I724" s="9"/>
      <c r="J724" s="9"/>
      <c r="K724" s="9"/>
    </row>
    <row r="725" spans="1:11" hidden="1">
      <c r="A725" s="9"/>
      <c r="B725" s="9"/>
      <c r="C725" s="9"/>
      <c r="D725" s="9"/>
      <c r="E725" s="9"/>
      <c r="F725" s="9"/>
      <c r="G725" s="9"/>
      <c r="H725" s="9"/>
      <c r="I725" s="9"/>
      <c r="J725" s="9"/>
      <c r="K725" s="9"/>
    </row>
    <row r="726" spans="1:11" hidden="1">
      <c r="A726" s="9"/>
      <c r="B726" s="9"/>
      <c r="C726" s="9"/>
      <c r="D726" s="9"/>
      <c r="E726" s="9"/>
      <c r="F726" s="9"/>
      <c r="G726" s="9"/>
      <c r="H726" s="9"/>
      <c r="I726" s="9"/>
      <c r="J726" s="9"/>
      <c r="K726" s="9"/>
    </row>
    <row r="727" spans="1:11" hidden="1">
      <c r="A727" s="9"/>
      <c r="B727" s="9"/>
      <c r="C727" s="9"/>
      <c r="D727" s="9"/>
      <c r="E727" s="9"/>
      <c r="F727" s="9"/>
      <c r="G727" s="9"/>
      <c r="H727" s="9"/>
      <c r="I727" s="9"/>
      <c r="J727" s="9"/>
      <c r="K727" s="9"/>
    </row>
    <row r="728" spans="1:11" hidden="1">
      <c r="A728" s="9"/>
      <c r="B728" s="9"/>
      <c r="C728" s="9"/>
      <c r="D728" s="9"/>
      <c r="E728" s="9"/>
      <c r="F728" s="9"/>
      <c r="G728" s="9"/>
      <c r="H728" s="9"/>
      <c r="I728" s="9"/>
      <c r="J728" s="9"/>
      <c r="K728" s="9"/>
    </row>
    <row r="729" spans="1:11" hidden="1">
      <c r="A729" s="9"/>
      <c r="B729" s="9"/>
      <c r="C729" s="9"/>
      <c r="D729" s="9"/>
      <c r="E729" s="9"/>
      <c r="F729" s="9"/>
      <c r="G729" s="9"/>
      <c r="H729" s="9"/>
      <c r="I729" s="9"/>
      <c r="J729" s="9"/>
      <c r="K729" s="9"/>
    </row>
    <row r="730" spans="1:11" hidden="1">
      <c r="A730" s="9"/>
      <c r="B730" s="9"/>
      <c r="C730" s="9"/>
      <c r="D730" s="9"/>
      <c r="E730" s="9"/>
      <c r="F730" s="9"/>
      <c r="G730" s="9"/>
      <c r="H730" s="9"/>
      <c r="I730" s="9"/>
      <c r="J730" s="9"/>
      <c r="K730" s="9"/>
    </row>
    <row r="731" spans="1:11" hidden="1">
      <c r="A731" s="9"/>
      <c r="B731" s="9"/>
      <c r="C731" s="9"/>
      <c r="D731" s="9"/>
      <c r="E731" s="9"/>
      <c r="F731" s="9"/>
      <c r="G731" s="9"/>
      <c r="H731" s="9"/>
      <c r="I731" s="9"/>
      <c r="J731" s="9"/>
      <c r="K731" s="9"/>
    </row>
    <row r="732" spans="1:11" hidden="1">
      <c r="A732" s="9"/>
      <c r="B732" s="9"/>
      <c r="C732" s="9"/>
      <c r="D732" s="9"/>
      <c r="E732" s="9"/>
      <c r="F732" s="9"/>
      <c r="G732" s="9"/>
      <c r="H732" s="9"/>
      <c r="I732" s="9"/>
      <c r="J732" s="9"/>
      <c r="K732" s="9"/>
    </row>
    <row r="733" spans="1:11" hidden="1">
      <c r="A733" s="9"/>
      <c r="B733" s="9"/>
      <c r="C733" s="9"/>
      <c r="D733" s="9"/>
      <c r="E733" s="9"/>
      <c r="F733" s="9"/>
      <c r="G733" s="9"/>
      <c r="H733" s="9"/>
      <c r="I733" s="9"/>
      <c r="J733" s="9"/>
      <c r="K733" s="9"/>
    </row>
    <row r="734" spans="1:11" hidden="1">
      <c r="A734" s="9"/>
      <c r="B734" s="9"/>
      <c r="C734" s="9"/>
      <c r="D734" s="9"/>
      <c r="E734" s="9"/>
      <c r="F734" s="9"/>
      <c r="G734" s="9"/>
      <c r="H734" s="9"/>
      <c r="I734" s="9"/>
      <c r="J734" s="9"/>
      <c r="K734" s="9"/>
    </row>
    <row r="735" spans="1:11" hidden="1">
      <c r="A735" s="9"/>
      <c r="B735" s="9"/>
      <c r="C735" s="9"/>
      <c r="D735" s="9"/>
      <c r="E735" s="9"/>
      <c r="F735" s="9"/>
      <c r="G735" s="9"/>
      <c r="H735" s="9"/>
      <c r="I735" s="9"/>
      <c r="J735" s="9"/>
      <c r="K735" s="9"/>
    </row>
    <row r="736" spans="1:11" hidden="1">
      <c r="A736" s="9"/>
      <c r="B736" s="9"/>
      <c r="C736" s="9"/>
      <c r="D736" s="9"/>
      <c r="E736" s="9"/>
      <c r="F736" s="9"/>
      <c r="G736" s="9"/>
      <c r="H736" s="9"/>
      <c r="I736" s="9"/>
      <c r="J736" s="9"/>
      <c r="K736" s="9"/>
    </row>
    <row r="737" spans="1:11" hidden="1">
      <c r="A737" s="9"/>
      <c r="B737" s="9"/>
      <c r="C737" s="9"/>
      <c r="D737" s="9"/>
      <c r="E737" s="9"/>
      <c r="F737" s="9"/>
      <c r="G737" s="9"/>
      <c r="H737" s="9"/>
      <c r="I737" s="9"/>
      <c r="J737" s="9"/>
      <c r="K737" s="9"/>
    </row>
    <row r="738" spans="1:11" hidden="1">
      <c r="A738" s="9"/>
      <c r="B738" s="9"/>
      <c r="C738" s="9"/>
      <c r="D738" s="9"/>
      <c r="E738" s="9"/>
      <c r="F738" s="9"/>
      <c r="G738" s="9"/>
      <c r="H738" s="9"/>
      <c r="I738" s="9"/>
      <c r="J738" s="9"/>
      <c r="K738" s="9"/>
    </row>
    <row r="739" spans="1:11" hidden="1">
      <c r="A739" s="9"/>
      <c r="B739" s="9"/>
      <c r="C739" s="9"/>
      <c r="D739" s="9"/>
      <c r="E739" s="9"/>
      <c r="F739" s="9"/>
      <c r="G739" s="9"/>
      <c r="H739" s="9"/>
      <c r="I739" s="9"/>
      <c r="J739" s="9"/>
      <c r="K739" s="9"/>
    </row>
    <row r="740" spans="1:11" hidden="1">
      <c r="A740" s="9"/>
      <c r="B740" s="9"/>
      <c r="C740" s="9"/>
      <c r="D740" s="9"/>
      <c r="E740" s="9"/>
      <c r="F740" s="9"/>
      <c r="G740" s="9"/>
      <c r="H740" s="9"/>
      <c r="I740" s="9"/>
      <c r="J740" s="9"/>
      <c r="K740" s="9"/>
    </row>
    <row r="741" spans="1:11" hidden="1">
      <c r="A741" s="9"/>
      <c r="B741" s="9"/>
      <c r="C741" s="9"/>
      <c r="D741" s="9"/>
      <c r="E741" s="9"/>
      <c r="F741" s="9"/>
      <c r="G741" s="9"/>
      <c r="H741" s="9"/>
      <c r="I741" s="9"/>
      <c r="J741" s="9"/>
      <c r="K741" s="9"/>
    </row>
    <row r="742" spans="1:11" hidden="1">
      <c r="A742" s="9"/>
      <c r="B742" s="9"/>
      <c r="C742" s="9"/>
      <c r="D742" s="9"/>
      <c r="E742" s="9"/>
      <c r="F742" s="9"/>
      <c r="G742" s="9"/>
      <c r="H742" s="9"/>
      <c r="I742" s="9"/>
      <c r="J742" s="9"/>
      <c r="K742" s="9"/>
    </row>
    <row r="743" spans="1:11" hidden="1">
      <c r="A743" s="9"/>
      <c r="B743" s="9"/>
      <c r="C743" s="9"/>
      <c r="D743" s="9"/>
      <c r="E743" s="9"/>
      <c r="F743" s="9"/>
      <c r="G743" s="9"/>
      <c r="H743" s="9"/>
      <c r="I743" s="9"/>
      <c r="J743" s="9"/>
      <c r="K743" s="9"/>
    </row>
    <row r="744" spans="1:11" hidden="1">
      <c r="A744" s="9"/>
      <c r="B744" s="9"/>
      <c r="C744" s="9"/>
      <c r="D744" s="9"/>
      <c r="E744" s="9"/>
      <c r="F744" s="9"/>
      <c r="G744" s="9"/>
      <c r="H744" s="9"/>
      <c r="I744" s="9"/>
      <c r="J744" s="9"/>
      <c r="K744" s="9"/>
    </row>
    <row r="745" spans="1:11" hidden="1">
      <c r="A745" s="9"/>
      <c r="B745" s="9"/>
      <c r="C745" s="9"/>
      <c r="D745" s="9"/>
      <c r="E745" s="9"/>
      <c r="F745" s="9"/>
      <c r="G745" s="9"/>
      <c r="H745" s="9"/>
      <c r="I745" s="9"/>
      <c r="J745" s="9"/>
      <c r="K745" s="9"/>
    </row>
    <row r="746" spans="1:11" hidden="1">
      <c r="A746" s="9"/>
      <c r="B746" s="9"/>
      <c r="C746" s="9"/>
      <c r="D746" s="9"/>
      <c r="E746" s="9"/>
      <c r="F746" s="9"/>
      <c r="G746" s="9"/>
      <c r="H746" s="9"/>
      <c r="I746" s="9"/>
      <c r="J746" s="9"/>
      <c r="K746" s="9"/>
    </row>
    <row r="747" spans="1:11" hidden="1">
      <c r="A747" s="9"/>
      <c r="B747" s="9"/>
      <c r="C747" s="9"/>
      <c r="D747" s="9"/>
      <c r="E747" s="9"/>
      <c r="F747" s="9"/>
      <c r="G747" s="9"/>
      <c r="H747" s="9"/>
      <c r="I747" s="9"/>
      <c r="J747" s="9"/>
      <c r="K747" s="9"/>
    </row>
    <row r="748" spans="1:11" hidden="1">
      <c r="A748" s="9"/>
      <c r="B748" s="9"/>
      <c r="C748" s="9"/>
      <c r="D748" s="9"/>
      <c r="E748" s="9"/>
      <c r="F748" s="9"/>
      <c r="G748" s="9"/>
      <c r="H748" s="9"/>
      <c r="I748" s="9"/>
      <c r="J748" s="9"/>
      <c r="K748" s="9"/>
    </row>
    <row r="749" spans="1:11" hidden="1">
      <c r="A749" s="9"/>
      <c r="B749" s="9"/>
      <c r="C749" s="9"/>
      <c r="D749" s="9"/>
      <c r="E749" s="9"/>
      <c r="F749" s="9"/>
      <c r="G749" s="9"/>
      <c r="H749" s="9"/>
      <c r="I749" s="9"/>
      <c r="J749" s="9"/>
      <c r="K749" s="9"/>
    </row>
    <row r="750" spans="1:11" hidden="1">
      <c r="A750" s="9"/>
      <c r="B750" s="9"/>
      <c r="C750" s="9"/>
      <c r="D750" s="9"/>
      <c r="E750" s="9"/>
      <c r="F750" s="9"/>
      <c r="G750" s="9"/>
      <c r="H750" s="9"/>
      <c r="I750" s="9"/>
      <c r="J750" s="9"/>
      <c r="K750" s="9"/>
    </row>
    <row r="751" spans="1:11" hidden="1">
      <c r="A751" s="9"/>
      <c r="B751" s="9"/>
      <c r="C751" s="9"/>
      <c r="D751" s="9"/>
      <c r="E751" s="9"/>
      <c r="F751" s="9"/>
      <c r="G751" s="9"/>
      <c r="H751" s="9"/>
      <c r="I751" s="9"/>
      <c r="J751" s="9"/>
      <c r="K751" s="9"/>
    </row>
    <row r="752" spans="1:11" hidden="1">
      <c r="A752" s="9"/>
      <c r="B752" s="9"/>
      <c r="C752" s="9"/>
      <c r="D752" s="9"/>
      <c r="E752" s="9"/>
      <c r="F752" s="9"/>
      <c r="G752" s="9"/>
      <c r="H752" s="9"/>
      <c r="I752" s="9"/>
      <c r="J752" s="9"/>
      <c r="K752" s="9"/>
    </row>
    <row r="753" spans="1:11" hidden="1">
      <c r="A753" s="9"/>
      <c r="B753" s="9"/>
      <c r="C753" s="9"/>
      <c r="D753" s="9"/>
      <c r="E753" s="9"/>
      <c r="F753" s="9"/>
      <c r="G753" s="9"/>
      <c r="H753" s="9"/>
      <c r="I753" s="9"/>
      <c r="J753" s="9"/>
      <c r="K753" s="9"/>
    </row>
    <row r="754" spans="1:11" hidden="1">
      <c r="A754" s="9"/>
      <c r="B754" s="9"/>
      <c r="C754" s="9"/>
      <c r="D754" s="9"/>
      <c r="E754" s="9"/>
      <c r="F754" s="9"/>
      <c r="G754" s="9"/>
      <c r="H754" s="9"/>
      <c r="I754" s="9"/>
      <c r="J754" s="9"/>
      <c r="K754" s="9"/>
    </row>
    <row r="755" spans="1:11" hidden="1">
      <c r="A755" s="9"/>
      <c r="B755" s="9"/>
      <c r="C755" s="9"/>
      <c r="D755" s="9"/>
      <c r="E755" s="9"/>
      <c r="F755" s="9"/>
      <c r="G755" s="9"/>
      <c r="H755" s="9"/>
      <c r="I755" s="9"/>
      <c r="J755" s="9"/>
      <c r="K755" s="9"/>
    </row>
    <row r="756" spans="1:11" hidden="1">
      <c r="A756" s="9"/>
      <c r="B756" s="9"/>
      <c r="C756" s="9"/>
      <c r="D756" s="9"/>
      <c r="E756" s="9"/>
      <c r="F756" s="9"/>
      <c r="G756" s="9"/>
      <c r="H756" s="9"/>
      <c r="I756" s="9"/>
      <c r="J756" s="9"/>
      <c r="K756" s="9"/>
    </row>
    <row r="757" spans="1:11" hidden="1">
      <c r="A757" s="9"/>
      <c r="B757" s="9"/>
      <c r="C757" s="9"/>
      <c r="D757" s="9"/>
      <c r="E757" s="9"/>
      <c r="F757" s="9"/>
      <c r="G757" s="9"/>
      <c r="H757" s="9"/>
      <c r="I757" s="9"/>
      <c r="J757" s="9"/>
      <c r="K757" s="9"/>
    </row>
    <row r="758" spans="1:11" hidden="1">
      <c r="A758" s="9"/>
      <c r="B758" s="9"/>
      <c r="C758" s="9"/>
      <c r="D758" s="9"/>
      <c r="E758" s="9"/>
      <c r="F758" s="9"/>
      <c r="G758" s="9"/>
      <c r="H758" s="9"/>
      <c r="I758" s="9"/>
      <c r="J758" s="9"/>
      <c r="K758" s="9"/>
    </row>
    <row r="759" spans="1:11" hidden="1">
      <c r="A759" s="9"/>
      <c r="B759" s="9"/>
      <c r="C759" s="9"/>
      <c r="D759" s="9"/>
      <c r="E759" s="9"/>
      <c r="F759" s="9"/>
      <c r="G759" s="9"/>
      <c r="H759" s="9"/>
      <c r="I759" s="9"/>
      <c r="J759" s="9"/>
      <c r="K759" s="9"/>
    </row>
    <row r="760" spans="1:11" hidden="1">
      <c r="A760" s="9"/>
      <c r="B760" s="9"/>
      <c r="C760" s="9"/>
      <c r="D760" s="9"/>
      <c r="E760" s="9"/>
      <c r="F760" s="9"/>
      <c r="G760" s="9"/>
      <c r="H760" s="9"/>
      <c r="I760" s="9"/>
      <c r="J760" s="9"/>
      <c r="K760" s="9"/>
    </row>
    <row r="761" spans="1:11" hidden="1">
      <c r="A761" s="9"/>
      <c r="B761" s="9"/>
      <c r="C761" s="9"/>
      <c r="D761" s="9"/>
      <c r="E761" s="9"/>
      <c r="F761" s="9"/>
      <c r="G761" s="9"/>
      <c r="H761" s="9"/>
      <c r="I761" s="9"/>
      <c r="J761" s="9"/>
      <c r="K761" s="9"/>
    </row>
    <row r="762" spans="1:11" hidden="1">
      <c r="A762" s="9"/>
      <c r="B762" s="9"/>
      <c r="C762" s="9"/>
      <c r="D762" s="9"/>
      <c r="E762" s="9"/>
      <c r="F762" s="9"/>
      <c r="G762" s="9"/>
      <c r="H762" s="9"/>
      <c r="I762" s="9"/>
      <c r="J762" s="9"/>
      <c r="K762" s="9"/>
    </row>
    <row r="763" spans="1:11" hidden="1">
      <c r="A763" s="9"/>
      <c r="B763" s="9"/>
      <c r="C763" s="9"/>
      <c r="D763" s="9"/>
      <c r="E763" s="9"/>
      <c r="F763" s="9"/>
      <c r="G763" s="9"/>
      <c r="H763" s="9"/>
      <c r="I763" s="9"/>
      <c r="J763" s="9"/>
      <c r="K763" s="9"/>
    </row>
    <row r="764" spans="1:11" hidden="1">
      <c r="A764" s="9"/>
      <c r="B764" s="9"/>
      <c r="C764" s="9"/>
      <c r="D764" s="9"/>
      <c r="E764" s="9"/>
      <c r="F764" s="9"/>
      <c r="G764" s="9"/>
      <c r="H764" s="9"/>
      <c r="I764" s="9"/>
      <c r="J764" s="9"/>
      <c r="K764" s="9"/>
    </row>
    <row r="765" spans="1:11" hidden="1">
      <c r="A765" s="9"/>
      <c r="B765" s="9"/>
      <c r="C765" s="9"/>
      <c r="D765" s="9"/>
      <c r="E765" s="9"/>
      <c r="F765" s="9"/>
      <c r="G765" s="9"/>
      <c r="H765" s="9"/>
      <c r="I765" s="9"/>
      <c r="J765" s="9"/>
      <c r="K765" s="9"/>
    </row>
    <row r="766" spans="1:11" hidden="1">
      <c r="A766" s="9"/>
      <c r="B766" s="9"/>
      <c r="C766" s="9"/>
      <c r="D766" s="9"/>
      <c r="E766" s="9"/>
      <c r="F766" s="9"/>
      <c r="G766" s="9"/>
      <c r="H766" s="9"/>
      <c r="I766" s="9"/>
      <c r="J766" s="9"/>
      <c r="K766" s="9"/>
    </row>
    <row r="767" spans="1:11" hidden="1">
      <c r="A767" s="9"/>
      <c r="B767" s="9"/>
      <c r="C767" s="9"/>
      <c r="D767" s="9"/>
      <c r="E767" s="9"/>
      <c r="F767" s="9"/>
      <c r="G767" s="9"/>
      <c r="H767" s="9"/>
      <c r="I767" s="9"/>
      <c r="J767" s="9"/>
      <c r="K767" s="9"/>
    </row>
    <row r="768" spans="1:11" hidden="1">
      <c r="A768" s="9"/>
      <c r="B768" s="9"/>
      <c r="C768" s="9"/>
      <c r="D768" s="9"/>
      <c r="E768" s="9"/>
      <c r="F768" s="9"/>
      <c r="G768" s="9"/>
      <c r="H768" s="9"/>
      <c r="I768" s="9"/>
      <c r="J768" s="9"/>
      <c r="K768" s="9"/>
    </row>
    <row r="769" spans="1:11" hidden="1">
      <c r="A769" s="9"/>
      <c r="B769" s="9"/>
      <c r="C769" s="9"/>
      <c r="D769" s="9"/>
      <c r="E769" s="9"/>
      <c r="F769" s="9"/>
      <c r="G769" s="9"/>
      <c r="H769" s="9"/>
      <c r="I769" s="9"/>
      <c r="J769" s="9"/>
      <c r="K769" s="9"/>
    </row>
    <row r="770" spans="1:11" hidden="1">
      <c r="A770" s="9"/>
      <c r="B770" s="9"/>
      <c r="C770" s="9"/>
      <c r="D770" s="9"/>
      <c r="E770" s="9"/>
      <c r="F770" s="9"/>
      <c r="G770" s="9"/>
      <c r="H770" s="9"/>
      <c r="I770" s="9"/>
      <c r="J770" s="9"/>
      <c r="K770" s="9"/>
    </row>
    <row r="771" spans="1:11" hidden="1">
      <c r="A771" s="9"/>
      <c r="B771" s="9"/>
      <c r="C771" s="9"/>
      <c r="D771" s="9"/>
      <c r="E771" s="9"/>
      <c r="F771" s="9"/>
      <c r="G771" s="9"/>
      <c r="H771" s="9"/>
      <c r="I771" s="9"/>
      <c r="J771" s="9"/>
      <c r="K771" s="9"/>
    </row>
    <row r="772" spans="1:11" hidden="1">
      <c r="A772" s="9"/>
      <c r="B772" s="9"/>
      <c r="C772" s="9"/>
      <c r="D772" s="9"/>
      <c r="E772" s="9"/>
      <c r="F772" s="9"/>
      <c r="G772" s="9"/>
      <c r="H772" s="9"/>
      <c r="I772" s="9"/>
      <c r="J772" s="9"/>
      <c r="K772" s="9"/>
    </row>
    <row r="773" spans="1:11" hidden="1">
      <c r="A773" s="9"/>
      <c r="B773" s="9"/>
      <c r="C773" s="9"/>
      <c r="D773" s="9"/>
      <c r="E773" s="9"/>
      <c r="F773" s="9"/>
      <c r="G773" s="9"/>
      <c r="H773" s="9"/>
      <c r="I773" s="9"/>
      <c r="J773" s="9"/>
      <c r="K773" s="9"/>
    </row>
    <row r="774" spans="1:11" hidden="1">
      <c r="A774" s="9"/>
      <c r="B774" s="9"/>
      <c r="C774" s="9"/>
      <c r="D774" s="9"/>
      <c r="E774" s="9"/>
      <c r="F774" s="9"/>
      <c r="G774" s="9"/>
      <c r="H774" s="9"/>
      <c r="I774" s="9"/>
      <c r="J774" s="9"/>
      <c r="K774" s="9"/>
    </row>
    <row r="775" spans="1:11" hidden="1">
      <c r="A775" s="9"/>
      <c r="B775" s="9"/>
      <c r="C775" s="9"/>
      <c r="D775" s="9"/>
      <c r="E775" s="9"/>
      <c r="F775" s="9"/>
      <c r="G775" s="9"/>
      <c r="H775" s="9"/>
      <c r="I775" s="9"/>
      <c r="J775" s="9"/>
      <c r="K775" s="9"/>
    </row>
    <row r="776" spans="1:11" hidden="1">
      <c r="A776" s="9"/>
      <c r="B776" s="9"/>
      <c r="C776" s="9"/>
      <c r="D776" s="9"/>
      <c r="E776" s="9"/>
      <c r="F776" s="9"/>
      <c r="G776" s="9"/>
      <c r="H776" s="9"/>
      <c r="I776" s="9"/>
      <c r="J776" s="9"/>
      <c r="K776" s="9"/>
    </row>
    <row r="777" spans="1:11" hidden="1">
      <c r="A777" s="9"/>
      <c r="B777" s="9"/>
      <c r="C777" s="9"/>
      <c r="D777" s="9"/>
      <c r="E777" s="9"/>
      <c r="F777" s="9"/>
      <c r="G777" s="9"/>
      <c r="H777" s="9"/>
      <c r="I777" s="9"/>
      <c r="J777" s="9"/>
      <c r="K777" s="9"/>
    </row>
    <row r="778" spans="1:11" hidden="1">
      <c r="A778" s="9"/>
      <c r="B778" s="9"/>
      <c r="C778" s="9"/>
      <c r="D778" s="9"/>
      <c r="E778" s="9"/>
      <c r="F778" s="9"/>
      <c r="G778" s="9"/>
      <c r="H778" s="9"/>
      <c r="I778" s="9"/>
      <c r="J778" s="9"/>
      <c r="K778" s="9"/>
    </row>
    <row r="779" spans="1:11" hidden="1">
      <c r="A779" s="9"/>
      <c r="B779" s="9"/>
      <c r="C779" s="9"/>
      <c r="D779" s="9"/>
      <c r="E779" s="9"/>
      <c r="F779" s="9"/>
      <c r="G779" s="9"/>
      <c r="H779" s="9"/>
      <c r="I779" s="9"/>
      <c r="J779" s="9"/>
      <c r="K779" s="9"/>
    </row>
    <row r="780" spans="1:11" hidden="1">
      <c r="A780" s="9"/>
      <c r="B780" s="9"/>
      <c r="C780" s="9"/>
      <c r="D780" s="9"/>
      <c r="E780" s="9"/>
      <c r="F780" s="9"/>
      <c r="G780" s="9"/>
      <c r="H780" s="9"/>
      <c r="I780" s="9"/>
      <c r="J780" s="9"/>
      <c r="K780" s="9"/>
    </row>
    <row r="781" spans="1:11" hidden="1">
      <c r="A781" s="9"/>
      <c r="B781" s="9"/>
      <c r="C781" s="9"/>
      <c r="D781" s="9"/>
      <c r="E781" s="9"/>
      <c r="F781" s="9"/>
      <c r="G781" s="9"/>
      <c r="H781" s="9"/>
      <c r="I781" s="9"/>
      <c r="J781" s="9"/>
      <c r="K781" s="9"/>
    </row>
    <row r="782" spans="1:11" hidden="1">
      <c r="A782" s="9"/>
      <c r="B782" s="9"/>
      <c r="C782" s="9"/>
      <c r="D782" s="9"/>
      <c r="E782" s="9"/>
      <c r="F782" s="9"/>
      <c r="G782" s="9"/>
      <c r="H782" s="9"/>
      <c r="I782" s="9"/>
      <c r="J782" s="9"/>
      <c r="K782" s="9"/>
    </row>
    <row r="783" spans="1:11" hidden="1">
      <c r="A783" s="9"/>
      <c r="B783" s="9"/>
      <c r="C783" s="9"/>
      <c r="D783" s="9"/>
      <c r="E783" s="9"/>
      <c r="F783" s="9"/>
      <c r="G783" s="9"/>
      <c r="H783" s="9"/>
      <c r="I783" s="9"/>
      <c r="J783" s="9"/>
      <c r="K783" s="9"/>
    </row>
    <row r="784" spans="1:11" hidden="1">
      <c r="A784" s="9"/>
      <c r="B784" s="9"/>
      <c r="C784" s="9"/>
      <c r="D784" s="9"/>
      <c r="E784" s="9"/>
      <c r="F784" s="9"/>
      <c r="G784" s="9"/>
      <c r="H784" s="9"/>
      <c r="I784" s="9"/>
      <c r="J784" s="9"/>
      <c r="K784" s="9"/>
    </row>
    <row r="785" spans="1:11" hidden="1">
      <c r="A785" s="9"/>
      <c r="B785" s="9"/>
      <c r="C785" s="9"/>
      <c r="D785" s="9"/>
      <c r="E785" s="9"/>
      <c r="F785" s="9"/>
      <c r="G785" s="9"/>
      <c r="H785" s="9"/>
      <c r="I785" s="9"/>
      <c r="J785" s="9"/>
      <c r="K785" s="9"/>
    </row>
    <row r="786" spans="1:11" hidden="1">
      <c r="A786" s="9"/>
      <c r="B786" s="9"/>
      <c r="C786" s="9"/>
      <c r="D786" s="9"/>
      <c r="E786" s="9"/>
      <c r="F786" s="9"/>
      <c r="G786" s="9"/>
      <c r="H786" s="9"/>
      <c r="I786" s="9"/>
      <c r="J786" s="9"/>
      <c r="K786" s="9"/>
    </row>
    <row r="787" spans="1:11" hidden="1">
      <c r="A787" s="9"/>
      <c r="B787" s="9"/>
      <c r="C787" s="9"/>
      <c r="D787" s="9"/>
      <c r="E787" s="9"/>
      <c r="F787" s="9"/>
      <c r="G787" s="9"/>
      <c r="H787" s="9"/>
      <c r="I787" s="9"/>
      <c r="J787" s="9"/>
      <c r="K787" s="9"/>
    </row>
    <row r="788" spans="1:11" hidden="1">
      <c r="A788" s="9"/>
      <c r="B788" s="9"/>
      <c r="C788" s="9"/>
      <c r="D788" s="9"/>
      <c r="E788" s="9"/>
      <c r="F788" s="9"/>
      <c r="G788" s="9"/>
      <c r="H788" s="9"/>
      <c r="I788" s="9"/>
      <c r="J788" s="9"/>
      <c r="K788" s="9"/>
    </row>
    <row r="789" spans="1:11" hidden="1">
      <c r="A789" s="9"/>
      <c r="B789" s="9"/>
      <c r="C789" s="9"/>
      <c r="D789" s="9"/>
      <c r="E789" s="9"/>
      <c r="F789" s="9"/>
      <c r="G789" s="9"/>
      <c r="H789" s="9"/>
      <c r="I789" s="9"/>
      <c r="J789" s="9"/>
      <c r="K789" s="9"/>
    </row>
    <row r="790" spans="1:11" hidden="1">
      <c r="A790" s="9"/>
      <c r="B790" s="9"/>
      <c r="C790" s="9"/>
      <c r="D790" s="9"/>
      <c r="E790" s="9"/>
      <c r="F790" s="9"/>
      <c r="G790" s="9"/>
      <c r="H790" s="9"/>
      <c r="I790" s="9"/>
      <c r="J790" s="9"/>
      <c r="K790" s="9"/>
    </row>
    <row r="791" spans="1:11" hidden="1">
      <c r="A791" s="9"/>
      <c r="B791" s="9"/>
      <c r="C791" s="9"/>
      <c r="D791" s="9"/>
      <c r="E791" s="9"/>
      <c r="F791" s="9"/>
      <c r="G791" s="9"/>
      <c r="H791" s="9"/>
      <c r="I791" s="9"/>
      <c r="J791" s="9"/>
      <c r="K791" s="9"/>
    </row>
    <row r="792" spans="1:11" hidden="1">
      <c r="A792" s="9"/>
      <c r="B792" s="9"/>
      <c r="C792" s="9"/>
      <c r="D792" s="9"/>
      <c r="E792" s="9"/>
      <c r="F792" s="9"/>
      <c r="G792" s="9"/>
      <c r="H792" s="9"/>
      <c r="I792" s="9"/>
      <c r="J792" s="9"/>
      <c r="K792" s="9"/>
    </row>
    <row r="793" spans="1:11" hidden="1">
      <c r="A793" s="9"/>
      <c r="B793" s="9"/>
      <c r="C793" s="9"/>
      <c r="D793" s="9"/>
      <c r="E793" s="9"/>
      <c r="F793" s="9"/>
      <c r="G793" s="9"/>
      <c r="H793" s="9"/>
      <c r="I793" s="9"/>
      <c r="J793" s="9"/>
      <c r="K793" s="9"/>
    </row>
    <row r="794" spans="1:11" hidden="1">
      <c r="A794" s="9"/>
      <c r="B794" s="9"/>
      <c r="C794" s="9"/>
      <c r="D794" s="9"/>
      <c r="E794" s="9"/>
      <c r="F794" s="9"/>
      <c r="G794" s="9"/>
      <c r="H794" s="9"/>
      <c r="I794" s="9"/>
      <c r="J794" s="9"/>
      <c r="K794" s="9"/>
    </row>
    <row r="795" spans="1:11" hidden="1">
      <c r="A795" s="9"/>
      <c r="B795" s="9"/>
      <c r="C795" s="9"/>
      <c r="D795" s="9"/>
      <c r="E795" s="9"/>
      <c r="F795" s="9"/>
      <c r="G795" s="9"/>
      <c r="H795" s="9"/>
      <c r="I795" s="9"/>
      <c r="J795" s="9"/>
      <c r="K795" s="9"/>
    </row>
    <row r="796" spans="1:11" hidden="1">
      <c r="A796" s="9"/>
      <c r="B796" s="9"/>
      <c r="C796" s="9"/>
      <c r="D796" s="9"/>
      <c r="E796" s="9"/>
      <c r="F796" s="9"/>
      <c r="G796" s="9"/>
      <c r="H796" s="9"/>
      <c r="I796" s="9"/>
      <c r="J796" s="9"/>
      <c r="K796" s="9"/>
    </row>
    <row r="797" spans="1:11" hidden="1">
      <c r="A797" s="9"/>
      <c r="B797" s="9"/>
      <c r="C797" s="9"/>
      <c r="D797" s="9"/>
      <c r="E797" s="9"/>
      <c r="F797" s="9"/>
      <c r="G797" s="9"/>
      <c r="H797" s="9"/>
      <c r="I797" s="9"/>
      <c r="J797" s="9"/>
      <c r="K797" s="9"/>
    </row>
    <row r="798" spans="1:11" hidden="1">
      <c r="A798" s="9"/>
      <c r="B798" s="9"/>
      <c r="C798" s="9"/>
      <c r="D798" s="9"/>
      <c r="E798" s="9"/>
      <c r="F798" s="9"/>
      <c r="G798" s="9"/>
      <c r="H798" s="9"/>
      <c r="I798" s="9"/>
      <c r="J798" s="9"/>
      <c r="K798" s="9"/>
    </row>
    <row r="799" spans="1:11" hidden="1">
      <c r="A799" s="9"/>
      <c r="B799" s="9"/>
      <c r="C799" s="9"/>
      <c r="D799" s="9"/>
      <c r="E799" s="9"/>
      <c r="F799" s="9"/>
      <c r="G799" s="9"/>
      <c r="H799" s="9"/>
      <c r="I799" s="9"/>
      <c r="J799" s="9"/>
      <c r="K799" s="9"/>
    </row>
    <row r="800" spans="1:11" hidden="1">
      <c r="A800" s="9"/>
      <c r="B800" s="9"/>
      <c r="C800" s="9"/>
      <c r="D800" s="9"/>
      <c r="E800" s="9"/>
      <c r="F800" s="9"/>
      <c r="G800" s="9"/>
      <c r="H800" s="9"/>
      <c r="I800" s="9"/>
      <c r="J800" s="9"/>
      <c r="K800" s="9"/>
    </row>
    <row r="801" spans="1:11" hidden="1">
      <c r="A801" s="9"/>
      <c r="B801" s="9"/>
      <c r="C801" s="9"/>
      <c r="D801" s="9"/>
      <c r="E801" s="9"/>
      <c r="F801" s="9"/>
      <c r="G801" s="9"/>
      <c r="H801" s="9"/>
      <c r="I801" s="9"/>
      <c r="J801" s="9"/>
      <c r="K801" s="9"/>
    </row>
    <row r="802" spans="1:11" hidden="1">
      <c r="A802" s="9"/>
      <c r="B802" s="9"/>
      <c r="C802" s="9"/>
      <c r="D802" s="9"/>
      <c r="E802" s="9"/>
      <c r="F802" s="9"/>
      <c r="G802" s="9"/>
      <c r="H802" s="9"/>
      <c r="I802" s="9"/>
      <c r="J802" s="9"/>
      <c r="K802" s="9"/>
    </row>
    <row r="803" spans="1:11" hidden="1">
      <c r="A803" s="9"/>
      <c r="B803" s="9"/>
      <c r="C803" s="9"/>
      <c r="D803" s="9"/>
      <c r="E803" s="9"/>
      <c r="F803" s="9"/>
      <c r="G803" s="9"/>
      <c r="H803" s="9"/>
      <c r="I803" s="9"/>
      <c r="J803" s="9"/>
      <c r="K803" s="9"/>
    </row>
    <row r="804" spans="1:11" hidden="1">
      <c r="A804" s="9"/>
      <c r="B804" s="9"/>
      <c r="C804" s="9"/>
      <c r="D804" s="9"/>
      <c r="E804" s="9"/>
      <c r="F804" s="9"/>
      <c r="G804" s="9"/>
      <c r="H804" s="9"/>
      <c r="I804" s="9"/>
      <c r="J804" s="9"/>
      <c r="K804" s="9"/>
    </row>
    <row r="805" spans="1:11" hidden="1">
      <c r="A805" s="9"/>
      <c r="B805" s="9"/>
      <c r="C805" s="9"/>
      <c r="D805" s="9"/>
      <c r="E805" s="9"/>
      <c r="F805" s="9"/>
      <c r="G805" s="9"/>
      <c r="H805" s="9"/>
      <c r="I805" s="9"/>
      <c r="J805" s="9"/>
      <c r="K805" s="9"/>
    </row>
    <row r="806" spans="1:11" hidden="1">
      <c r="A806" s="9"/>
      <c r="B806" s="9"/>
      <c r="C806" s="9"/>
      <c r="D806" s="9"/>
      <c r="E806" s="9"/>
      <c r="F806" s="9"/>
      <c r="G806" s="9"/>
      <c r="H806" s="9"/>
      <c r="I806" s="9"/>
      <c r="J806" s="9"/>
      <c r="K806" s="9"/>
    </row>
    <row r="807" spans="1:11" hidden="1">
      <c r="A807" s="9"/>
      <c r="B807" s="9"/>
      <c r="C807" s="9"/>
      <c r="D807" s="9"/>
      <c r="E807" s="9"/>
      <c r="F807" s="9"/>
      <c r="G807" s="9"/>
      <c r="H807" s="9"/>
      <c r="I807" s="9"/>
      <c r="J807" s="9"/>
      <c r="K807" s="9"/>
    </row>
    <row r="808" spans="1:11" hidden="1">
      <c r="A808" s="9"/>
      <c r="B808" s="9"/>
      <c r="C808" s="9"/>
      <c r="D808" s="9"/>
      <c r="E808" s="9"/>
      <c r="F808" s="9"/>
      <c r="G808" s="9"/>
      <c r="H808" s="9"/>
      <c r="I808" s="9"/>
      <c r="J808" s="9"/>
      <c r="K808" s="9"/>
    </row>
    <row r="809" spans="1:11" hidden="1">
      <c r="A809" s="9"/>
      <c r="B809" s="9"/>
      <c r="C809" s="9"/>
      <c r="D809" s="9"/>
      <c r="E809" s="9"/>
      <c r="F809" s="9"/>
      <c r="G809" s="9"/>
      <c r="H809" s="9"/>
      <c r="I809" s="9"/>
      <c r="J809" s="9"/>
      <c r="K809" s="9"/>
    </row>
    <row r="810" spans="1:11" hidden="1">
      <c r="A810" s="9"/>
      <c r="B810" s="9"/>
      <c r="C810" s="9"/>
      <c r="D810" s="9"/>
      <c r="E810" s="9"/>
      <c r="F810" s="9"/>
      <c r="G810" s="9"/>
      <c r="H810" s="9"/>
      <c r="I810" s="9"/>
      <c r="J810" s="9"/>
      <c r="K810" s="9"/>
    </row>
    <row r="811" spans="1:11" hidden="1">
      <c r="A811" s="9"/>
      <c r="B811" s="9"/>
      <c r="C811" s="9"/>
      <c r="D811" s="9"/>
      <c r="E811" s="9"/>
      <c r="F811" s="9"/>
      <c r="G811" s="9"/>
      <c r="H811" s="9"/>
      <c r="I811" s="9"/>
      <c r="J811" s="9"/>
      <c r="K811" s="9"/>
    </row>
    <row r="812" spans="1:11" hidden="1">
      <c r="A812" s="9"/>
      <c r="B812" s="9"/>
      <c r="C812" s="9"/>
      <c r="D812" s="9"/>
      <c r="E812" s="9"/>
      <c r="F812" s="9"/>
      <c r="G812" s="9"/>
      <c r="H812" s="9"/>
      <c r="I812" s="9"/>
      <c r="J812" s="9"/>
      <c r="K812" s="9"/>
    </row>
    <row r="813" spans="1:11" hidden="1">
      <c r="A813" s="9"/>
      <c r="B813" s="9"/>
      <c r="C813" s="9"/>
      <c r="D813" s="9"/>
      <c r="E813" s="9"/>
      <c r="F813" s="9"/>
      <c r="G813" s="9"/>
      <c r="H813" s="9"/>
      <c r="I813" s="9"/>
      <c r="J813" s="9"/>
      <c r="K813" s="9"/>
    </row>
    <row r="814" spans="1:11" hidden="1">
      <c r="A814" s="9"/>
      <c r="B814" s="9"/>
      <c r="C814" s="9"/>
      <c r="D814" s="9"/>
      <c r="E814" s="9"/>
      <c r="F814" s="9"/>
      <c r="G814" s="9"/>
      <c r="H814" s="9"/>
      <c r="I814" s="9"/>
      <c r="J814" s="9"/>
      <c r="K814" s="9"/>
    </row>
    <row r="815" spans="1:11" hidden="1">
      <c r="A815" s="9"/>
      <c r="B815" s="9"/>
      <c r="C815" s="9"/>
      <c r="D815" s="9"/>
      <c r="E815" s="9"/>
      <c r="F815" s="9"/>
      <c r="G815" s="9"/>
      <c r="H815" s="9"/>
      <c r="I815" s="9"/>
      <c r="J815" s="9"/>
      <c r="K815" s="9"/>
    </row>
    <row r="816" spans="1:11" hidden="1">
      <c r="A816" s="9"/>
      <c r="B816" s="9"/>
      <c r="C816" s="9"/>
      <c r="D816" s="9"/>
      <c r="E816" s="9"/>
      <c r="F816" s="9"/>
      <c r="G816" s="9"/>
      <c r="H816" s="9"/>
      <c r="I816" s="9"/>
      <c r="J816" s="9"/>
      <c r="K816" s="9"/>
    </row>
    <row r="817" spans="1:11" hidden="1">
      <c r="A817" s="9"/>
      <c r="B817" s="9"/>
      <c r="C817" s="9"/>
      <c r="D817" s="9"/>
      <c r="E817" s="9"/>
      <c r="F817" s="9"/>
      <c r="G817" s="9"/>
      <c r="H817" s="9"/>
      <c r="I817" s="9"/>
      <c r="J817" s="9"/>
      <c r="K817" s="9"/>
    </row>
    <row r="818" spans="1:11" hidden="1">
      <c r="A818" s="9"/>
      <c r="B818" s="9"/>
      <c r="C818" s="9"/>
      <c r="D818" s="9"/>
      <c r="E818" s="9"/>
      <c r="F818" s="9"/>
      <c r="G818" s="9"/>
      <c r="H818" s="9"/>
      <c r="I818" s="9"/>
      <c r="J818" s="9"/>
      <c r="K818" s="9"/>
    </row>
    <row r="819" spans="1:11" hidden="1">
      <c r="A819" s="9"/>
      <c r="B819" s="9"/>
      <c r="C819" s="9"/>
      <c r="D819" s="9"/>
      <c r="E819" s="9"/>
      <c r="F819" s="9"/>
      <c r="G819" s="9"/>
      <c r="H819" s="9"/>
      <c r="I819" s="9"/>
      <c r="J819" s="9"/>
      <c r="K819" s="9"/>
    </row>
    <row r="820" spans="1:11" hidden="1">
      <c r="A820" s="9"/>
      <c r="B820" s="9"/>
      <c r="C820" s="9"/>
      <c r="D820" s="9"/>
      <c r="E820" s="9"/>
      <c r="F820" s="9"/>
      <c r="G820" s="9"/>
      <c r="H820" s="9"/>
      <c r="I820" s="9"/>
      <c r="J820" s="9"/>
      <c r="K820" s="9"/>
    </row>
    <row r="821" spans="1:11" hidden="1">
      <c r="A821" s="9"/>
      <c r="B821" s="9"/>
      <c r="C821" s="9"/>
      <c r="D821" s="9"/>
      <c r="E821" s="9"/>
      <c r="F821" s="9"/>
      <c r="G821" s="9"/>
      <c r="H821" s="9"/>
      <c r="I821" s="9"/>
      <c r="J821" s="9"/>
      <c r="K821" s="9"/>
    </row>
    <row r="822" spans="1:11" hidden="1">
      <c r="A822" s="9"/>
      <c r="B822" s="9"/>
      <c r="C822" s="9"/>
      <c r="D822" s="9"/>
      <c r="E822" s="9"/>
      <c r="F822" s="9"/>
      <c r="G822" s="9"/>
      <c r="H822" s="9"/>
      <c r="I822" s="9"/>
      <c r="J822" s="9"/>
      <c r="K822" s="9"/>
    </row>
    <row r="823" spans="1:11" hidden="1">
      <c r="A823" s="9"/>
      <c r="B823" s="9"/>
      <c r="C823" s="9"/>
      <c r="D823" s="9"/>
      <c r="E823" s="9"/>
      <c r="F823" s="9"/>
      <c r="G823" s="9"/>
      <c r="H823" s="9"/>
      <c r="I823" s="9"/>
      <c r="J823" s="9"/>
      <c r="K823" s="9"/>
    </row>
    <row r="824" spans="1:11" hidden="1">
      <c r="A824" s="9"/>
      <c r="B824" s="9"/>
      <c r="C824" s="9"/>
      <c r="D824" s="9"/>
      <c r="E824" s="9"/>
      <c r="F824" s="9"/>
      <c r="G824" s="9"/>
      <c r="H824" s="9"/>
      <c r="I824" s="9"/>
      <c r="J824" s="9"/>
      <c r="K824" s="9"/>
    </row>
    <row r="825" spans="1:11" hidden="1">
      <c r="A825" s="9"/>
      <c r="B825" s="9"/>
      <c r="C825" s="9"/>
      <c r="D825" s="9"/>
      <c r="E825" s="9"/>
      <c r="F825" s="9"/>
      <c r="G825" s="9"/>
      <c r="H825" s="9"/>
      <c r="I825" s="9"/>
      <c r="J825" s="9"/>
      <c r="K825" s="9"/>
    </row>
    <row r="826" spans="1:11" hidden="1">
      <c r="A826" s="9"/>
      <c r="B826" s="9"/>
      <c r="C826" s="9"/>
      <c r="D826" s="9"/>
      <c r="E826" s="9"/>
      <c r="F826" s="9"/>
      <c r="G826" s="9"/>
      <c r="H826" s="9"/>
      <c r="I826" s="9"/>
      <c r="J826" s="9"/>
      <c r="K826" s="9"/>
    </row>
    <row r="827" spans="1:11" hidden="1">
      <c r="A827" s="9"/>
      <c r="B827" s="9"/>
      <c r="C827" s="9"/>
      <c r="D827" s="9"/>
      <c r="E827" s="9"/>
      <c r="F827" s="9"/>
      <c r="G827" s="9"/>
      <c r="H827" s="9"/>
      <c r="I827" s="9"/>
      <c r="J827" s="9"/>
      <c r="K827" s="9"/>
    </row>
    <row r="828" spans="1:11" hidden="1">
      <c r="A828" s="9"/>
      <c r="B828" s="9"/>
      <c r="C828" s="9"/>
      <c r="D828" s="9"/>
      <c r="E828" s="9"/>
      <c r="F828" s="9"/>
      <c r="G828" s="9"/>
      <c r="H828" s="9"/>
      <c r="I828" s="9"/>
      <c r="J828" s="9"/>
      <c r="K828" s="9"/>
    </row>
    <row r="829" spans="1:11" hidden="1">
      <c r="A829" s="9"/>
      <c r="B829" s="9"/>
      <c r="C829" s="9"/>
      <c r="D829" s="9"/>
      <c r="E829" s="9"/>
      <c r="F829" s="9"/>
      <c r="G829" s="9"/>
      <c r="H829" s="9"/>
      <c r="I829" s="9"/>
      <c r="J829" s="9"/>
      <c r="K829" s="9"/>
    </row>
    <row r="830" spans="1:11" hidden="1">
      <c r="A830" s="9"/>
      <c r="B830" s="9"/>
      <c r="C830" s="9"/>
      <c r="D830" s="9"/>
      <c r="E830" s="9"/>
      <c r="F830" s="9"/>
      <c r="G830" s="9"/>
      <c r="H830" s="9"/>
      <c r="I830" s="9"/>
      <c r="J830" s="9"/>
      <c r="K830" s="9"/>
    </row>
    <row r="831" spans="1:11" hidden="1">
      <c r="A831" s="9"/>
      <c r="B831" s="9"/>
      <c r="C831" s="9"/>
      <c r="D831" s="9"/>
      <c r="E831" s="9"/>
      <c r="F831" s="9"/>
      <c r="G831" s="9"/>
      <c r="H831" s="9"/>
      <c r="I831" s="9"/>
      <c r="J831" s="9"/>
      <c r="K831" s="9"/>
    </row>
    <row r="832" spans="1:11" hidden="1">
      <c r="A832" s="9"/>
      <c r="B832" s="9"/>
      <c r="C832" s="9"/>
      <c r="D832" s="9"/>
      <c r="E832" s="9"/>
      <c r="F832" s="9"/>
      <c r="G832" s="9"/>
      <c r="H832" s="9"/>
      <c r="I832" s="9"/>
      <c r="J832" s="9"/>
      <c r="K832" s="9"/>
    </row>
    <row r="833" spans="1:11" hidden="1">
      <c r="A833" s="9"/>
      <c r="B833" s="9"/>
      <c r="C833" s="9"/>
      <c r="D833" s="9"/>
      <c r="E833" s="9"/>
      <c r="F833" s="9"/>
      <c r="G833" s="9"/>
      <c r="H833" s="9"/>
      <c r="I833" s="9"/>
      <c r="J833" s="9"/>
      <c r="K833" s="9"/>
    </row>
    <row r="834" spans="1:11" hidden="1">
      <c r="A834" s="9"/>
      <c r="B834" s="9"/>
      <c r="C834" s="9"/>
      <c r="D834" s="9"/>
      <c r="E834" s="9"/>
      <c r="F834" s="9"/>
      <c r="G834" s="9"/>
      <c r="H834" s="9"/>
      <c r="I834" s="9"/>
      <c r="J834" s="9"/>
      <c r="K834" s="9"/>
    </row>
    <row r="835" spans="1:11" hidden="1">
      <c r="A835" s="9"/>
      <c r="B835" s="9"/>
      <c r="C835" s="9"/>
      <c r="D835" s="9"/>
      <c r="E835" s="9"/>
      <c r="F835" s="9"/>
      <c r="G835" s="9"/>
      <c r="H835" s="9"/>
      <c r="I835" s="9"/>
      <c r="J835" s="9"/>
      <c r="K835" s="9"/>
    </row>
    <row r="836" spans="1:11" hidden="1">
      <c r="A836" s="9"/>
      <c r="B836" s="9"/>
      <c r="C836" s="9"/>
      <c r="D836" s="9"/>
      <c r="E836" s="9"/>
      <c r="F836" s="9"/>
      <c r="G836" s="9"/>
      <c r="H836" s="9"/>
      <c r="I836" s="9"/>
      <c r="J836" s="9"/>
      <c r="K836" s="9"/>
    </row>
    <row r="837" spans="1:11" hidden="1">
      <c r="A837" s="9"/>
      <c r="B837" s="9"/>
      <c r="C837" s="9"/>
      <c r="D837" s="9"/>
      <c r="E837" s="9"/>
      <c r="F837" s="9"/>
      <c r="G837" s="9"/>
      <c r="H837" s="9"/>
      <c r="I837" s="9"/>
      <c r="J837" s="9"/>
      <c r="K837" s="9"/>
    </row>
    <row r="838" spans="1:11" hidden="1">
      <c r="A838" s="9"/>
      <c r="B838" s="9"/>
      <c r="C838" s="9"/>
      <c r="D838" s="9"/>
      <c r="E838" s="9"/>
      <c r="F838" s="9"/>
      <c r="G838" s="9"/>
      <c r="H838" s="9"/>
      <c r="I838" s="9"/>
      <c r="J838" s="9"/>
      <c r="K838" s="9"/>
    </row>
    <row r="839" spans="1:11" hidden="1">
      <c r="A839" s="9"/>
      <c r="B839" s="9"/>
      <c r="C839" s="9"/>
      <c r="D839" s="9"/>
      <c r="E839" s="9"/>
      <c r="F839" s="9"/>
      <c r="G839" s="9"/>
      <c r="H839" s="9"/>
      <c r="I839" s="9"/>
      <c r="J839" s="9"/>
      <c r="K839" s="9"/>
    </row>
    <row r="840" spans="1:11" hidden="1">
      <c r="A840" s="9"/>
      <c r="B840" s="9"/>
      <c r="C840" s="9"/>
      <c r="D840" s="9"/>
      <c r="E840" s="9"/>
      <c r="F840" s="9"/>
      <c r="G840" s="9"/>
      <c r="H840" s="9"/>
      <c r="I840" s="9"/>
      <c r="J840" s="9"/>
      <c r="K840" s="9"/>
    </row>
    <row r="841" spans="1:11" hidden="1">
      <c r="A841" s="9"/>
      <c r="B841" s="9"/>
      <c r="C841" s="9"/>
      <c r="D841" s="9"/>
      <c r="E841" s="9"/>
      <c r="F841" s="9"/>
      <c r="G841" s="9"/>
      <c r="H841" s="9"/>
      <c r="I841" s="9"/>
      <c r="J841" s="9"/>
      <c r="K841" s="9"/>
    </row>
    <row r="842" spans="1:11" hidden="1">
      <c r="A842" s="9"/>
      <c r="B842" s="9"/>
      <c r="C842" s="9"/>
      <c r="D842" s="9"/>
      <c r="E842" s="9"/>
      <c r="F842" s="9"/>
      <c r="G842" s="9"/>
      <c r="H842" s="9"/>
      <c r="I842" s="9"/>
      <c r="J842" s="9"/>
      <c r="K842" s="9"/>
    </row>
    <row r="843" spans="1:11" hidden="1">
      <c r="A843" s="9"/>
      <c r="B843" s="9"/>
      <c r="C843" s="9"/>
      <c r="D843" s="9"/>
      <c r="E843" s="9"/>
      <c r="F843" s="9"/>
      <c r="G843" s="9"/>
      <c r="H843" s="9"/>
      <c r="I843" s="9"/>
      <c r="J843" s="9"/>
      <c r="K843" s="9"/>
    </row>
    <row r="844" spans="1:11" hidden="1">
      <c r="A844" s="9"/>
      <c r="B844" s="9"/>
      <c r="C844" s="9"/>
      <c r="D844" s="9"/>
      <c r="E844" s="9"/>
      <c r="F844" s="9"/>
      <c r="G844" s="9"/>
      <c r="H844" s="9"/>
      <c r="I844" s="9"/>
      <c r="J844" s="9"/>
      <c r="K844" s="9"/>
    </row>
    <row r="845" spans="1:11" hidden="1">
      <c r="A845" s="9"/>
      <c r="B845" s="9"/>
      <c r="C845" s="9"/>
      <c r="D845" s="9"/>
      <c r="E845" s="9"/>
      <c r="F845" s="9"/>
      <c r="G845" s="9"/>
      <c r="H845" s="9"/>
      <c r="I845" s="9"/>
      <c r="J845" s="9"/>
      <c r="K845" s="9"/>
    </row>
    <row r="846" spans="1:11" hidden="1">
      <c r="A846" s="9"/>
      <c r="B846" s="9"/>
      <c r="C846" s="9"/>
      <c r="D846" s="9"/>
      <c r="E846" s="9"/>
      <c r="F846" s="9"/>
      <c r="G846" s="9"/>
      <c r="H846" s="9"/>
      <c r="I846" s="9"/>
      <c r="J846" s="9"/>
      <c r="K846" s="9"/>
    </row>
    <row r="847" spans="1:11" hidden="1">
      <c r="A847" s="9"/>
      <c r="B847" s="9"/>
      <c r="C847" s="9"/>
      <c r="D847" s="9"/>
      <c r="E847" s="9"/>
      <c r="F847" s="9"/>
      <c r="G847" s="9"/>
      <c r="H847" s="9"/>
      <c r="I847" s="9"/>
      <c r="J847" s="9"/>
      <c r="K847" s="9"/>
    </row>
    <row r="848" spans="1:11" hidden="1">
      <c r="A848" s="9"/>
      <c r="B848" s="9"/>
      <c r="C848" s="9"/>
      <c r="D848" s="9"/>
      <c r="E848" s="9"/>
      <c r="F848" s="9"/>
      <c r="G848" s="9"/>
      <c r="H848" s="9"/>
      <c r="I848" s="9"/>
      <c r="J848" s="9"/>
      <c r="K848" s="9"/>
    </row>
    <row r="849" spans="1:11" hidden="1">
      <c r="A849" s="9"/>
      <c r="B849" s="9"/>
      <c r="C849" s="9"/>
      <c r="D849" s="9"/>
      <c r="E849" s="9"/>
      <c r="F849" s="9"/>
      <c r="G849" s="9"/>
      <c r="H849" s="9"/>
      <c r="I849" s="9"/>
      <c r="J849" s="9"/>
      <c r="K849" s="9"/>
    </row>
    <row r="850" spans="1:11" hidden="1">
      <c r="A850" s="9"/>
      <c r="B850" s="9"/>
      <c r="C850" s="9"/>
      <c r="D850" s="9"/>
      <c r="E850" s="9"/>
      <c r="F850" s="9"/>
      <c r="G850" s="9"/>
      <c r="H850" s="9"/>
      <c r="I850" s="9"/>
      <c r="J850" s="9"/>
      <c r="K850" s="9"/>
    </row>
    <row r="851" spans="1:11" hidden="1">
      <c r="A851" s="9"/>
      <c r="B851" s="9"/>
      <c r="C851" s="9"/>
      <c r="D851" s="9"/>
      <c r="E851" s="9"/>
      <c r="F851" s="9"/>
      <c r="G851" s="9"/>
      <c r="H851" s="9"/>
      <c r="I851" s="9"/>
      <c r="J851" s="9"/>
      <c r="K851" s="9"/>
    </row>
    <row r="852" spans="1:11" hidden="1">
      <c r="A852" s="9"/>
      <c r="B852" s="9"/>
      <c r="C852" s="9"/>
      <c r="D852" s="9"/>
      <c r="E852" s="9"/>
      <c r="F852" s="9"/>
      <c r="G852" s="9"/>
      <c r="H852" s="9"/>
      <c r="I852" s="9"/>
      <c r="J852" s="9"/>
      <c r="K852" s="9"/>
    </row>
    <row r="853" spans="1:11" hidden="1">
      <c r="A853" s="9"/>
      <c r="B853" s="9"/>
      <c r="C853" s="9"/>
      <c r="D853" s="9"/>
      <c r="E853" s="9"/>
      <c r="F853" s="9"/>
      <c r="G853" s="9"/>
      <c r="H853" s="9"/>
      <c r="I853" s="9"/>
      <c r="J853" s="9"/>
      <c r="K853" s="9"/>
    </row>
    <row r="854" spans="1:11" hidden="1">
      <c r="A854" s="9"/>
      <c r="B854" s="9"/>
      <c r="C854" s="9"/>
      <c r="D854" s="9"/>
      <c r="E854" s="9"/>
      <c r="F854" s="9"/>
      <c r="G854" s="9"/>
      <c r="H854" s="9"/>
      <c r="I854" s="9"/>
      <c r="J854" s="9"/>
      <c r="K854" s="9"/>
    </row>
    <row r="855" spans="1:11" hidden="1">
      <c r="A855" s="9"/>
      <c r="B855" s="9"/>
      <c r="C855" s="9"/>
      <c r="D855" s="9"/>
      <c r="E855" s="9"/>
      <c r="F855" s="9"/>
      <c r="G855" s="9"/>
      <c r="H855" s="9"/>
      <c r="I855" s="9"/>
      <c r="J855" s="9"/>
      <c r="K855" s="9"/>
    </row>
    <row r="856" spans="1:11" hidden="1">
      <c r="A856" s="9"/>
      <c r="B856" s="9"/>
      <c r="C856" s="9"/>
      <c r="D856" s="9"/>
      <c r="E856" s="9"/>
      <c r="F856" s="9"/>
      <c r="G856" s="9"/>
      <c r="H856" s="9"/>
      <c r="I856" s="9"/>
      <c r="J856" s="9"/>
      <c r="K856" s="9"/>
    </row>
    <row r="857" spans="1:11" hidden="1">
      <c r="A857" s="9"/>
      <c r="B857" s="9"/>
      <c r="C857" s="9"/>
      <c r="D857" s="9"/>
      <c r="E857" s="9"/>
      <c r="F857" s="9"/>
      <c r="G857" s="9"/>
      <c r="H857" s="9"/>
      <c r="I857" s="9"/>
      <c r="J857" s="9"/>
      <c r="K857" s="9"/>
    </row>
    <row r="858" spans="1:11" hidden="1">
      <c r="A858" s="9"/>
      <c r="B858" s="9"/>
      <c r="C858" s="9"/>
      <c r="D858" s="9"/>
      <c r="E858" s="9"/>
      <c r="F858" s="9"/>
      <c r="G858" s="9"/>
      <c r="H858" s="9"/>
      <c r="I858" s="9"/>
      <c r="J858" s="9"/>
      <c r="K858" s="9"/>
    </row>
    <row r="859" spans="1:11" hidden="1">
      <c r="A859" s="9"/>
      <c r="B859" s="9"/>
      <c r="C859" s="9"/>
      <c r="D859" s="9"/>
      <c r="E859" s="9"/>
      <c r="F859" s="9"/>
      <c r="G859" s="9"/>
      <c r="H859" s="9"/>
      <c r="I859" s="9"/>
      <c r="J859" s="9"/>
      <c r="K859" s="9"/>
    </row>
    <row r="860" spans="1:11" hidden="1">
      <c r="A860" s="9"/>
      <c r="B860" s="9"/>
      <c r="C860" s="9"/>
      <c r="D860" s="9"/>
      <c r="E860" s="9"/>
      <c r="F860" s="9"/>
      <c r="G860" s="9"/>
      <c r="H860" s="9"/>
      <c r="I860" s="9"/>
      <c r="J860" s="9"/>
      <c r="K860" s="9"/>
    </row>
    <row r="861" spans="1:11" hidden="1">
      <c r="A861" s="9"/>
      <c r="B861" s="9"/>
      <c r="C861" s="9"/>
      <c r="D861" s="9"/>
      <c r="E861" s="9"/>
      <c r="F861" s="9"/>
      <c r="G861" s="9"/>
      <c r="H861" s="9"/>
      <c r="I861" s="9"/>
      <c r="J861" s="9"/>
      <c r="K861" s="9"/>
    </row>
    <row r="862" spans="1:11" hidden="1">
      <c r="A862" s="9"/>
      <c r="B862" s="9"/>
      <c r="C862" s="9"/>
      <c r="D862" s="9"/>
      <c r="E862" s="9"/>
      <c r="F862" s="9"/>
      <c r="G862" s="9"/>
      <c r="H862" s="9"/>
      <c r="I862" s="9"/>
      <c r="J862" s="9"/>
      <c r="K862" s="9"/>
    </row>
    <row r="863" spans="1:11" hidden="1">
      <c r="A863" s="9"/>
      <c r="B863" s="9"/>
      <c r="C863" s="9"/>
      <c r="D863" s="9"/>
      <c r="E863" s="9"/>
      <c r="F863" s="9"/>
      <c r="G863" s="9"/>
      <c r="H863" s="9"/>
      <c r="I863" s="9"/>
      <c r="J863" s="9"/>
      <c r="K863" s="9"/>
    </row>
    <row r="864" spans="1:11" hidden="1">
      <c r="A864" s="9"/>
      <c r="B864" s="9"/>
      <c r="C864" s="9"/>
      <c r="D864" s="9"/>
      <c r="E864" s="9"/>
      <c r="F864" s="9"/>
      <c r="G864" s="9"/>
      <c r="H864" s="9"/>
      <c r="I864" s="9"/>
      <c r="J864" s="9"/>
      <c r="K864" s="9"/>
    </row>
    <row r="865" spans="1:11" hidden="1">
      <c r="A865" s="9"/>
      <c r="B865" s="9"/>
      <c r="C865" s="9"/>
      <c r="D865" s="9"/>
      <c r="E865" s="9"/>
      <c r="F865" s="9"/>
      <c r="G865" s="9"/>
      <c r="H865" s="9"/>
      <c r="I865" s="9"/>
      <c r="J865" s="9"/>
      <c r="K865" s="9"/>
    </row>
    <row r="866" spans="1:11" hidden="1">
      <c r="A866" s="9"/>
      <c r="B866" s="9"/>
      <c r="C866" s="9"/>
      <c r="D866" s="9"/>
      <c r="E866" s="9"/>
      <c r="F866" s="9"/>
      <c r="G866" s="9"/>
      <c r="H866" s="9"/>
      <c r="I866" s="9"/>
      <c r="J866" s="9"/>
      <c r="K866" s="9"/>
    </row>
    <row r="867" spans="1:11" hidden="1">
      <c r="A867" s="9"/>
      <c r="B867" s="9"/>
      <c r="C867" s="9"/>
      <c r="D867" s="9"/>
      <c r="E867" s="9"/>
      <c r="F867" s="9"/>
      <c r="G867" s="9"/>
      <c r="H867" s="9"/>
      <c r="I867" s="9"/>
      <c r="J867" s="9"/>
      <c r="K867" s="9"/>
    </row>
    <row r="868" spans="1:11" hidden="1">
      <c r="A868" s="9"/>
      <c r="B868" s="9"/>
      <c r="C868" s="9"/>
      <c r="D868" s="9"/>
      <c r="E868" s="9"/>
      <c r="F868" s="9"/>
      <c r="G868" s="9"/>
      <c r="H868" s="9"/>
      <c r="I868" s="9"/>
      <c r="J868" s="9"/>
      <c r="K868" s="9"/>
    </row>
    <row r="869" spans="1:11" hidden="1">
      <c r="A869" s="9"/>
      <c r="B869" s="9"/>
      <c r="C869" s="9"/>
      <c r="D869" s="9"/>
      <c r="E869" s="9"/>
      <c r="F869" s="9"/>
      <c r="G869" s="9"/>
      <c r="H869" s="9"/>
      <c r="I869" s="9"/>
      <c r="J869" s="9"/>
      <c r="K869" s="9"/>
    </row>
    <row r="870" spans="1:11" hidden="1">
      <c r="A870" s="9"/>
      <c r="B870" s="9"/>
      <c r="C870" s="9"/>
      <c r="D870" s="9"/>
      <c r="E870" s="9"/>
      <c r="F870" s="9"/>
      <c r="G870" s="9"/>
      <c r="H870" s="9"/>
      <c r="I870" s="9"/>
      <c r="J870" s="9"/>
      <c r="K870" s="9"/>
    </row>
    <row r="871" spans="1:11" hidden="1">
      <c r="A871" s="9"/>
      <c r="B871" s="9"/>
      <c r="C871" s="9"/>
      <c r="D871" s="9"/>
      <c r="E871" s="9"/>
      <c r="F871" s="9"/>
      <c r="G871" s="9"/>
      <c r="H871" s="9"/>
      <c r="I871" s="9"/>
      <c r="J871" s="9"/>
      <c r="K871" s="9"/>
    </row>
    <row r="872" spans="1:11" hidden="1">
      <c r="A872" s="9"/>
      <c r="B872" s="9"/>
      <c r="C872" s="9"/>
      <c r="D872" s="9"/>
      <c r="E872" s="9"/>
      <c r="F872" s="9"/>
      <c r="G872" s="9"/>
      <c r="H872" s="9"/>
      <c r="I872" s="9"/>
      <c r="J872" s="9"/>
      <c r="K872" s="9"/>
    </row>
    <row r="873" spans="1:11" hidden="1">
      <c r="A873" s="9"/>
      <c r="B873" s="9"/>
      <c r="C873" s="9"/>
      <c r="D873" s="9"/>
      <c r="E873" s="9"/>
      <c r="F873" s="9"/>
      <c r="G873" s="9"/>
      <c r="H873" s="9"/>
      <c r="I873" s="9"/>
      <c r="J873" s="9"/>
      <c r="K873" s="9"/>
    </row>
    <row r="874" spans="1:11" hidden="1">
      <c r="A874" s="9"/>
      <c r="B874" s="9"/>
      <c r="C874" s="9"/>
      <c r="D874" s="9"/>
      <c r="E874" s="9"/>
      <c r="F874" s="9"/>
      <c r="G874" s="9"/>
      <c r="H874" s="9"/>
      <c r="I874" s="9"/>
      <c r="J874" s="9"/>
      <c r="K874" s="9"/>
    </row>
    <row r="875" spans="1:11" hidden="1">
      <c r="A875" s="9"/>
      <c r="B875" s="9"/>
      <c r="C875" s="9"/>
      <c r="D875" s="9"/>
      <c r="E875" s="9"/>
      <c r="F875" s="9"/>
      <c r="G875" s="9"/>
      <c r="H875" s="9"/>
      <c r="I875" s="9"/>
      <c r="J875" s="9"/>
      <c r="K875" s="9"/>
    </row>
    <row r="876" spans="1:11" hidden="1">
      <c r="A876" s="9"/>
      <c r="B876" s="9"/>
      <c r="C876" s="9"/>
      <c r="D876" s="9"/>
      <c r="E876" s="9"/>
      <c r="F876" s="9"/>
      <c r="G876" s="9"/>
      <c r="H876" s="9"/>
      <c r="I876" s="9"/>
      <c r="J876" s="9"/>
      <c r="K876" s="9"/>
    </row>
    <row r="877" spans="1:11" hidden="1">
      <c r="A877" s="9"/>
      <c r="B877" s="9"/>
      <c r="C877" s="9"/>
      <c r="D877" s="9"/>
      <c r="E877" s="9"/>
      <c r="F877" s="9"/>
      <c r="G877" s="9"/>
      <c r="H877" s="9"/>
      <c r="I877" s="9"/>
      <c r="J877" s="9"/>
      <c r="K877" s="9"/>
    </row>
    <row r="878" spans="1:11" hidden="1">
      <c r="A878" s="9"/>
      <c r="B878" s="9"/>
      <c r="C878" s="9"/>
      <c r="D878" s="9"/>
      <c r="E878" s="9"/>
      <c r="F878" s="9"/>
      <c r="G878" s="9"/>
      <c r="H878" s="9"/>
      <c r="I878" s="9"/>
      <c r="J878" s="9"/>
      <c r="K878" s="9"/>
    </row>
    <row r="879" spans="1:11" hidden="1">
      <c r="A879" s="9"/>
      <c r="B879" s="9"/>
      <c r="C879" s="9"/>
      <c r="D879" s="9"/>
      <c r="E879" s="9"/>
      <c r="F879" s="9"/>
      <c r="G879" s="9"/>
      <c r="H879" s="9"/>
      <c r="I879" s="9"/>
      <c r="J879" s="9"/>
      <c r="K879" s="9"/>
    </row>
    <row r="880" spans="1:11" hidden="1">
      <c r="A880" s="9"/>
      <c r="B880" s="9"/>
      <c r="C880" s="9"/>
      <c r="D880" s="9"/>
      <c r="E880" s="9"/>
      <c r="F880" s="9"/>
      <c r="G880" s="9"/>
      <c r="H880" s="9"/>
      <c r="I880" s="9"/>
      <c r="J880" s="9"/>
      <c r="K880" s="9"/>
    </row>
    <row r="881" spans="1:11" hidden="1">
      <c r="A881" s="9"/>
      <c r="B881" s="9"/>
      <c r="C881" s="9"/>
      <c r="D881" s="9"/>
      <c r="E881" s="9"/>
      <c r="F881" s="9"/>
      <c r="G881" s="9"/>
      <c r="H881" s="9"/>
      <c r="I881" s="9"/>
      <c r="J881" s="9"/>
      <c r="K881" s="9"/>
    </row>
    <row r="882" spans="1:11" hidden="1">
      <c r="A882" s="9"/>
      <c r="B882" s="9"/>
      <c r="C882" s="9"/>
      <c r="D882" s="9"/>
      <c r="E882" s="9"/>
      <c r="F882" s="9"/>
      <c r="G882" s="9"/>
      <c r="H882" s="9"/>
      <c r="I882" s="9"/>
      <c r="J882" s="9"/>
      <c r="K882" s="9"/>
    </row>
    <row r="883" spans="1:11" hidden="1">
      <c r="A883" s="9"/>
      <c r="B883" s="9"/>
      <c r="C883" s="9"/>
      <c r="D883" s="9"/>
      <c r="E883" s="9"/>
      <c r="F883" s="9"/>
      <c r="G883" s="9"/>
      <c r="H883" s="9"/>
      <c r="I883" s="9"/>
      <c r="J883" s="9"/>
      <c r="K883" s="9"/>
    </row>
    <row r="884" spans="1:11" hidden="1">
      <c r="A884" s="9"/>
      <c r="B884" s="9"/>
      <c r="C884" s="9"/>
      <c r="D884" s="9"/>
      <c r="E884" s="9"/>
      <c r="F884" s="9"/>
      <c r="G884" s="9"/>
      <c r="H884" s="9"/>
      <c r="I884" s="9"/>
      <c r="J884" s="9"/>
      <c r="K884" s="9"/>
    </row>
    <row r="885" spans="1:11" hidden="1">
      <c r="A885" s="9"/>
      <c r="B885" s="9"/>
      <c r="C885" s="9"/>
      <c r="D885" s="9"/>
      <c r="E885" s="9"/>
      <c r="F885" s="9"/>
      <c r="G885" s="9"/>
      <c r="H885" s="9"/>
      <c r="I885" s="9"/>
      <c r="J885" s="9"/>
      <c r="K885" s="9"/>
    </row>
    <row r="886" spans="1:11" hidden="1">
      <c r="A886" s="9"/>
      <c r="B886" s="9"/>
      <c r="C886" s="9"/>
      <c r="D886" s="9"/>
      <c r="E886" s="9"/>
      <c r="F886" s="9"/>
      <c r="G886" s="9"/>
      <c r="H886" s="9"/>
      <c r="I886" s="9"/>
      <c r="J886" s="9"/>
      <c r="K886" s="9"/>
    </row>
    <row r="887" spans="1:11" hidden="1">
      <c r="A887" s="9"/>
      <c r="B887" s="9"/>
      <c r="C887" s="9"/>
      <c r="D887" s="9"/>
      <c r="E887" s="9"/>
      <c r="F887" s="9"/>
      <c r="G887" s="9"/>
      <c r="H887" s="9"/>
      <c r="I887" s="9"/>
      <c r="J887" s="9"/>
      <c r="K887" s="9"/>
    </row>
    <row r="888" spans="1:11" hidden="1">
      <c r="A888" s="9"/>
      <c r="B888" s="9"/>
      <c r="C888" s="9"/>
      <c r="D888" s="9"/>
      <c r="E888" s="9"/>
      <c r="F888" s="9"/>
      <c r="G888" s="9"/>
      <c r="H888" s="9"/>
      <c r="I888" s="9"/>
      <c r="J888" s="9"/>
      <c r="K888" s="9"/>
    </row>
    <row r="889" spans="1:11" hidden="1">
      <c r="A889" s="9"/>
      <c r="B889" s="9"/>
      <c r="C889" s="9"/>
      <c r="D889" s="9"/>
      <c r="E889" s="9"/>
      <c r="F889" s="9"/>
      <c r="G889" s="9"/>
      <c r="H889" s="9"/>
      <c r="I889" s="9"/>
      <c r="J889" s="9"/>
      <c r="K889" s="9"/>
    </row>
    <row r="890" spans="1:11" hidden="1">
      <c r="A890" s="9"/>
      <c r="B890" s="9"/>
      <c r="C890" s="9"/>
      <c r="D890" s="9"/>
      <c r="E890" s="9"/>
      <c r="F890" s="9"/>
      <c r="G890" s="9"/>
      <c r="H890" s="9"/>
      <c r="I890" s="9"/>
      <c r="J890" s="9"/>
      <c r="K890" s="9"/>
    </row>
    <row r="891" spans="1:11" hidden="1">
      <c r="A891" s="9"/>
      <c r="B891" s="9"/>
      <c r="C891" s="9"/>
      <c r="D891" s="9"/>
      <c r="E891" s="9"/>
      <c r="F891" s="9"/>
      <c r="G891" s="9"/>
      <c r="H891" s="9"/>
      <c r="I891" s="9"/>
      <c r="J891" s="9"/>
      <c r="K891" s="9"/>
    </row>
    <row r="892" spans="1:11" hidden="1">
      <c r="A892" s="9"/>
      <c r="B892" s="9"/>
      <c r="C892" s="9"/>
      <c r="D892" s="9"/>
      <c r="E892" s="9"/>
      <c r="F892" s="9"/>
      <c r="G892" s="9"/>
      <c r="H892" s="9"/>
      <c r="I892" s="9"/>
      <c r="J892" s="9"/>
      <c r="K892" s="9"/>
    </row>
    <row r="893" spans="1:11" hidden="1">
      <c r="A893" s="9"/>
      <c r="B893" s="9"/>
      <c r="C893" s="9"/>
      <c r="D893" s="9"/>
      <c r="E893" s="9"/>
      <c r="F893" s="9"/>
      <c r="G893" s="9"/>
      <c r="H893" s="9"/>
      <c r="I893" s="9"/>
      <c r="J893" s="9"/>
      <c r="K893" s="9"/>
    </row>
    <row r="894" spans="1:11" hidden="1">
      <c r="A894" s="9"/>
      <c r="B894" s="9"/>
      <c r="C894" s="9"/>
      <c r="D894" s="9"/>
      <c r="E894" s="9"/>
      <c r="F894" s="9"/>
      <c r="G894" s="9"/>
      <c r="H894" s="9"/>
      <c r="I894" s="9"/>
      <c r="J894" s="9"/>
      <c r="K894" s="9"/>
    </row>
    <row r="895" spans="1:11" hidden="1">
      <c r="A895" s="9"/>
      <c r="B895" s="9"/>
      <c r="C895" s="9"/>
      <c r="D895" s="9"/>
      <c r="E895" s="9"/>
      <c r="F895" s="9"/>
      <c r="G895" s="9"/>
      <c r="H895" s="9"/>
      <c r="I895" s="9"/>
      <c r="J895" s="9"/>
      <c r="K895" s="9"/>
    </row>
    <row r="896" spans="1:11" hidden="1">
      <c r="A896" s="9"/>
      <c r="B896" s="9"/>
      <c r="C896" s="9"/>
      <c r="D896" s="9"/>
      <c r="E896" s="9"/>
      <c r="F896" s="9"/>
      <c r="G896" s="9"/>
      <c r="H896" s="9"/>
      <c r="I896" s="9"/>
      <c r="J896" s="9"/>
      <c r="K896" s="9"/>
    </row>
    <row r="897" spans="1:11" hidden="1">
      <c r="A897" s="9"/>
      <c r="B897" s="9"/>
      <c r="C897" s="9"/>
      <c r="D897" s="9"/>
      <c r="E897" s="9"/>
      <c r="F897" s="9"/>
      <c r="G897" s="9"/>
      <c r="H897" s="9"/>
      <c r="I897" s="9"/>
      <c r="J897" s="9"/>
      <c r="K897" s="9"/>
    </row>
    <row r="898" spans="1:11" hidden="1">
      <c r="A898" s="9"/>
      <c r="B898" s="9"/>
      <c r="C898" s="9"/>
      <c r="D898" s="9"/>
      <c r="E898" s="9"/>
      <c r="F898" s="9"/>
      <c r="G898" s="9"/>
      <c r="H898" s="9"/>
      <c r="I898" s="9"/>
      <c r="J898" s="9"/>
      <c r="K898" s="9"/>
    </row>
    <row r="899" spans="1:11" hidden="1">
      <c r="A899" s="9"/>
      <c r="B899" s="9"/>
      <c r="C899" s="9"/>
      <c r="D899" s="9"/>
      <c r="E899" s="9"/>
      <c r="F899" s="9"/>
      <c r="G899" s="9"/>
      <c r="H899" s="9"/>
      <c r="I899" s="9"/>
      <c r="J899" s="9"/>
      <c r="K899" s="9"/>
    </row>
    <row r="900" spans="1:11" hidden="1">
      <c r="A900" s="9"/>
      <c r="B900" s="9"/>
      <c r="C900" s="9"/>
      <c r="D900" s="9"/>
      <c r="E900" s="9"/>
      <c r="F900" s="9"/>
      <c r="G900" s="9"/>
      <c r="H900" s="9"/>
      <c r="I900" s="9"/>
      <c r="J900" s="9"/>
      <c r="K900" s="9"/>
    </row>
    <row r="901" spans="1:11" hidden="1">
      <c r="A901" s="9"/>
      <c r="B901" s="9"/>
      <c r="C901" s="9"/>
      <c r="D901" s="9"/>
      <c r="E901" s="9"/>
      <c r="F901" s="9"/>
      <c r="G901" s="9"/>
      <c r="H901" s="9"/>
      <c r="I901" s="9"/>
      <c r="J901" s="9"/>
      <c r="K901" s="9"/>
    </row>
    <row r="902" spans="1:11" hidden="1">
      <c r="A902" s="9"/>
      <c r="B902" s="9"/>
      <c r="C902" s="9"/>
      <c r="D902" s="9"/>
      <c r="E902" s="9"/>
      <c r="F902" s="9"/>
      <c r="G902" s="9"/>
      <c r="H902" s="9"/>
      <c r="I902" s="9"/>
      <c r="J902" s="9"/>
      <c r="K902" s="9"/>
    </row>
    <row r="903" spans="1:11" hidden="1">
      <c r="A903" s="9"/>
      <c r="B903" s="9"/>
      <c r="C903" s="9"/>
      <c r="D903" s="9"/>
      <c r="E903" s="9"/>
      <c r="F903" s="9"/>
      <c r="G903" s="9"/>
      <c r="H903" s="9"/>
      <c r="I903" s="9"/>
      <c r="J903" s="9"/>
      <c r="K903" s="9"/>
    </row>
    <row r="904" spans="1:11" hidden="1">
      <c r="A904" s="9"/>
      <c r="B904" s="9"/>
      <c r="C904" s="9"/>
      <c r="D904" s="9"/>
      <c r="E904" s="9"/>
      <c r="F904" s="9"/>
      <c r="G904" s="9"/>
      <c r="H904" s="9"/>
      <c r="I904" s="9"/>
      <c r="J904" s="9"/>
      <c r="K904" s="9"/>
    </row>
    <row r="905" spans="1:11" hidden="1">
      <c r="A905" s="9"/>
      <c r="B905" s="9"/>
      <c r="C905" s="9"/>
      <c r="D905" s="9"/>
      <c r="E905" s="9"/>
      <c r="F905" s="9"/>
      <c r="G905" s="9"/>
      <c r="H905" s="9"/>
      <c r="I905" s="9"/>
      <c r="J905" s="9"/>
      <c r="K905" s="9"/>
    </row>
    <row r="906" spans="1:11" hidden="1">
      <c r="A906" s="9"/>
      <c r="B906" s="9"/>
      <c r="C906" s="9"/>
      <c r="D906" s="9"/>
      <c r="E906" s="9"/>
      <c r="F906" s="9"/>
      <c r="G906" s="9"/>
      <c r="H906" s="9"/>
      <c r="I906" s="9"/>
      <c r="J906" s="9"/>
      <c r="K906" s="9"/>
    </row>
    <row r="907" spans="1:11" hidden="1">
      <c r="A907" s="9"/>
      <c r="B907" s="9"/>
      <c r="C907" s="9"/>
      <c r="D907" s="9"/>
      <c r="E907" s="9"/>
      <c r="F907" s="9"/>
      <c r="G907" s="9"/>
      <c r="H907" s="9"/>
      <c r="I907" s="9"/>
      <c r="J907" s="9"/>
      <c r="K907" s="9"/>
    </row>
    <row r="908" spans="1:11" hidden="1">
      <c r="A908" s="9"/>
      <c r="B908" s="9"/>
      <c r="C908" s="9"/>
      <c r="D908" s="9"/>
      <c r="E908" s="9"/>
      <c r="F908" s="9"/>
      <c r="G908" s="9"/>
      <c r="H908" s="9"/>
      <c r="I908" s="9"/>
      <c r="J908" s="9"/>
      <c r="K908" s="9"/>
    </row>
    <row r="909" spans="1:11" hidden="1">
      <c r="A909" s="9"/>
      <c r="B909" s="9"/>
      <c r="C909" s="9"/>
      <c r="D909" s="9"/>
      <c r="E909" s="9"/>
      <c r="F909" s="9"/>
      <c r="G909" s="9"/>
      <c r="H909" s="9"/>
      <c r="I909" s="9"/>
      <c r="J909" s="9"/>
      <c r="K909" s="9"/>
    </row>
    <row r="910" spans="1:11" hidden="1">
      <c r="A910" s="9"/>
      <c r="B910" s="9"/>
      <c r="C910" s="9"/>
      <c r="D910" s="9"/>
      <c r="E910" s="9"/>
      <c r="F910" s="9"/>
      <c r="G910" s="9"/>
      <c r="H910" s="9"/>
      <c r="I910" s="9"/>
      <c r="J910" s="9"/>
      <c r="K910" s="9"/>
    </row>
    <row r="911" spans="1:11" hidden="1">
      <c r="A911" s="9"/>
      <c r="B911" s="9"/>
      <c r="C911" s="9"/>
      <c r="D911" s="9"/>
      <c r="E911" s="9"/>
      <c r="F911" s="9"/>
      <c r="G911" s="9"/>
      <c r="H911" s="9"/>
      <c r="I911" s="9"/>
      <c r="J911" s="9"/>
      <c r="K911" s="9"/>
    </row>
    <row r="912" spans="1:11" hidden="1">
      <c r="A912" s="9"/>
      <c r="B912" s="9"/>
      <c r="C912" s="9"/>
      <c r="D912" s="9"/>
      <c r="E912" s="9"/>
      <c r="F912" s="9"/>
      <c r="G912" s="9"/>
      <c r="H912" s="9"/>
      <c r="I912" s="9"/>
      <c r="J912" s="9"/>
      <c r="K912" s="9"/>
    </row>
    <row r="913" spans="1:11" hidden="1">
      <c r="A913" s="9"/>
      <c r="B913" s="9"/>
      <c r="C913" s="9"/>
      <c r="D913" s="9"/>
      <c r="E913" s="9"/>
      <c r="F913" s="9"/>
      <c r="G913" s="9"/>
      <c r="H913" s="9"/>
      <c r="I913" s="9"/>
      <c r="J913" s="9"/>
      <c r="K913" s="9"/>
    </row>
    <row r="914" spans="1:11" hidden="1">
      <c r="A914" s="9"/>
      <c r="B914" s="9"/>
      <c r="C914" s="9"/>
      <c r="D914" s="9"/>
      <c r="E914" s="9"/>
      <c r="F914" s="9"/>
      <c r="G914" s="9"/>
      <c r="H914" s="9"/>
      <c r="I914" s="9"/>
      <c r="J914" s="9"/>
      <c r="K914" s="9"/>
    </row>
    <row r="915" spans="1:11" hidden="1">
      <c r="A915" s="9"/>
      <c r="B915" s="9"/>
      <c r="C915" s="9"/>
      <c r="D915" s="9"/>
      <c r="E915" s="9"/>
      <c r="F915" s="9"/>
      <c r="G915" s="9"/>
      <c r="H915" s="9"/>
      <c r="I915" s="9"/>
      <c r="J915" s="9"/>
      <c r="K915" s="9"/>
    </row>
    <row r="916" spans="1:11" hidden="1">
      <c r="A916" s="9"/>
      <c r="B916" s="9"/>
      <c r="C916" s="9"/>
      <c r="D916" s="9"/>
      <c r="E916" s="9"/>
      <c r="F916" s="9"/>
      <c r="G916" s="9"/>
      <c r="H916" s="9"/>
      <c r="I916" s="9"/>
      <c r="J916" s="9"/>
      <c r="K916" s="9"/>
    </row>
    <row r="917" spans="1:11" hidden="1">
      <c r="A917" s="9"/>
      <c r="B917" s="9"/>
      <c r="C917" s="9"/>
      <c r="D917" s="9"/>
      <c r="E917" s="9"/>
      <c r="F917" s="9"/>
      <c r="G917" s="9"/>
      <c r="H917" s="9"/>
      <c r="I917" s="9"/>
      <c r="J917" s="9"/>
      <c r="K917" s="9"/>
    </row>
    <row r="918" spans="1:11" hidden="1">
      <c r="A918" s="9"/>
      <c r="B918" s="9"/>
      <c r="C918" s="9"/>
      <c r="D918" s="9"/>
      <c r="E918" s="9"/>
      <c r="F918" s="9"/>
      <c r="G918" s="9"/>
      <c r="H918" s="9"/>
      <c r="I918" s="9"/>
      <c r="J918" s="9"/>
      <c r="K918" s="9"/>
    </row>
    <row r="919" spans="1:11" hidden="1">
      <c r="A919" s="9"/>
      <c r="B919" s="9"/>
      <c r="C919" s="9"/>
      <c r="D919" s="9"/>
      <c r="E919" s="9"/>
      <c r="F919" s="9"/>
      <c r="G919" s="9"/>
      <c r="H919" s="9"/>
      <c r="I919" s="9"/>
      <c r="J919" s="9"/>
      <c r="K919" s="9"/>
    </row>
    <row r="920" spans="1:11" hidden="1">
      <c r="A920" s="9"/>
      <c r="B920" s="9"/>
      <c r="C920" s="9"/>
      <c r="D920" s="9"/>
      <c r="E920" s="9"/>
      <c r="F920" s="9"/>
      <c r="G920" s="9"/>
      <c r="H920" s="9"/>
      <c r="I920" s="9"/>
      <c r="J920" s="9"/>
      <c r="K920" s="9"/>
    </row>
    <row r="921" spans="1:11" hidden="1">
      <c r="A921" s="9"/>
      <c r="B921" s="9"/>
      <c r="C921" s="9"/>
      <c r="D921" s="9"/>
      <c r="E921" s="9"/>
      <c r="F921" s="9"/>
      <c r="G921" s="9"/>
      <c r="H921" s="9"/>
      <c r="I921" s="9"/>
      <c r="J921" s="9"/>
      <c r="K921" s="9"/>
    </row>
    <row r="922" spans="1:11" hidden="1">
      <c r="A922" s="9"/>
      <c r="B922" s="9"/>
      <c r="C922" s="9"/>
      <c r="D922" s="9"/>
      <c r="E922" s="9"/>
      <c r="F922" s="9"/>
      <c r="G922" s="9"/>
      <c r="H922" s="9"/>
      <c r="I922" s="9"/>
      <c r="J922" s="9"/>
      <c r="K922" s="9"/>
    </row>
    <row r="923" spans="1:11" hidden="1">
      <c r="A923" s="9"/>
      <c r="B923" s="9"/>
      <c r="C923" s="9"/>
      <c r="D923" s="9"/>
      <c r="E923" s="9"/>
      <c r="F923" s="9"/>
      <c r="G923" s="9"/>
      <c r="H923" s="9"/>
      <c r="I923" s="9"/>
      <c r="J923" s="9"/>
      <c r="K923" s="9"/>
    </row>
    <row r="924" spans="1:11" hidden="1">
      <c r="A924" s="9"/>
      <c r="B924" s="9"/>
      <c r="C924" s="9"/>
      <c r="D924" s="9"/>
      <c r="E924" s="9"/>
      <c r="F924" s="9"/>
      <c r="G924" s="9"/>
      <c r="H924" s="9"/>
      <c r="I924" s="9"/>
      <c r="J924" s="9"/>
      <c r="K924" s="9"/>
    </row>
    <row r="925" spans="1:11" hidden="1">
      <c r="A925" s="9"/>
      <c r="B925" s="9"/>
      <c r="C925" s="9"/>
      <c r="D925" s="9"/>
      <c r="E925" s="9"/>
      <c r="F925" s="9"/>
      <c r="G925" s="9"/>
      <c r="H925" s="9"/>
      <c r="I925" s="9"/>
      <c r="J925" s="9"/>
      <c r="K925" s="9"/>
    </row>
    <row r="926" spans="1:11" hidden="1">
      <c r="A926" s="9"/>
      <c r="B926" s="9"/>
      <c r="C926" s="9"/>
      <c r="D926" s="9"/>
      <c r="E926" s="9"/>
      <c r="F926" s="9"/>
      <c r="G926" s="9"/>
      <c r="H926" s="9"/>
      <c r="I926" s="9"/>
      <c r="J926" s="9"/>
      <c r="K926" s="9"/>
    </row>
    <row r="927" spans="1:11" hidden="1">
      <c r="A927" s="9"/>
      <c r="B927" s="9"/>
      <c r="C927" s="9"/>
      <c r="D927" s="9"/>
      <c r="E927" s="9"/>
      <c r="F927" s="9"/>
      <c r="G927" s="9"/>
      <c r="H927" s="9"/>
      <c r="I927" s="9"/>
      <c r="J927" s="9"/>
      <c r="K927" s="9"/>
    </row>
    <row r="928" spans="1:11" hidden="1">
      <c r="A928" s="9"/>
      <c r="B928" s="9"/>
      <c r="C928" s="9"/>
      <c r="D928" s="9"/>
      <c r="E928" s="9"/>
      <c r="F928" s="9"/>
      <c r="G928" s="9"/>
      <c r="H928" s="9"/>
      <c r="I928" s="9"/>
      <c r="J928" s="9"/>
      <c r="K928" s="9"/>
    </row>
    <row r="929" spans="1:11" hidden="1">
      <c r="A929" s="9"/>
      <c r="B929" s="9"/>
      <c r="C929" s="9"/>
      <c r="D929" s="9"/>
      <c r="E929" s="9"/>
      <c r="F929" s="9"/>
      <c r="G929" s="9"/>
      <c r="H929" s="9"/>
      <c r="I929" s="9"/>
      <c r="J929" s="9"/>
      <c r="K929" s="9"/>
    </row>
    <row r="930" spans="1:11" hidden="1">
      <c r="A930" s="9"/>
      <c r="B930" s="9"/>
      <c r="C930" s="9"/>
      <c r="D930" s="9"/>
      <c r="E930" s="9"/>
      <c r="F930" s="9"/>
      <c r="G930" s="9"/>
      <c r="H930" s="9"/>
      <c r="I930" s="9"/>
      <c r="J930" s="9"/>
      <c r="K930" s="9"/>
    </row>
    <row r="931" spans="1:11" hidden="1">
      <c r="A931" s="9"/>
      <c r="B931" s="9"/>
      <c r="C931" s="9"/>
      <c r="D931" s="9"/>
      <c r="E931" s="9"/>
      <c r="F931" s="9"/>
      <c r="G931" s="9"/>
      <c r="H931" s="9"/>
      <c r="I931" s="9"/>
      <c r="J931" s="9"/>
      <c r="K931" s="9"/>
    </row>
    <row r="932" spans="1:11" hidden="1">
      <c r="A932" s="9"/>
      <c r="B932" s="9"/>
      <c r="C932" s="9"/>
      <c r="D932" s="9"/>
      <c r="E932" s="9"/>
      <c r="F932" s="9"/>
      <c r="G932" s="9"/>
      <c r="H932" s="9"/>
      <c r="I932" s="9"/>
      <c r="J932" s="9"/>
      <c r="K932" s="9"/>
    </row>
    <row r="933" spans="1:11" hidden="1">
      <c r="A933" s="9"/>
      <c r="B933" s="9"/>
      <c r="C933" s="9"/>
      <c r="D933" s="9"/>
      <c r="E933" s="9"/>
      <c r="F933" s="9"/>
      <c r="G933" s="9"/>
      <c r="H933" s="9"/>
      <c r="I933" s="9"/>
      <c r="J933" s="9"/>
      <c r="K933" s="9"/>
    </row>
    <row r="934" spans="1:11" hidden="1">
      <c r="A934" s="9"/>
      <c r="B934" s="9"/>
      <c r="C934" s="9"/>
      <c r="D934" s="9"/>
      <c r="E934" s="9"/>
      <c r="F934" s="9"/>
      <c r="G934" s="9"/>
      <c r="H934" s="9"/>
      <c r="I934" s="9"/>
      <c r="J934" s="9"/>
      <c r="K934" s="9"/>
    </row>
    <row r="935" spans="1:11" hidden="1">
      <c r="A935" s="9"/>
      <c r="B935" s="9"/>
      <c r="C935" s="9"/>
      <c r="D935" s="9"/>
      <c r="E935" s="9"/>
      <c r="F935" s="9"/>
      <c r="G935" s="9"/>
      <c r="H935" s="9"/>
      <c r="I935" s="9"/>
      <c r="J935" s="9"/>
      <c r="K935" s="9"/>
    </row>
    <row r="936" spans="1:11" hidden="1">
      <c r="A936" s="9"/>
      <c r="B936" s="9"/>
      <c r="C936" s="9"/>
      <c r="D936" s="9"/>
      <c r="E936" s="9"/>
      <c r="F936" s="9"/>
      <c r="G936" s="9"/>
      <c r="H936" s="9"/>
      <c r="I936" s="9"/>
      <c r="J936" s="9"/>
      <c r="K936" s="9"/>
    </row>
    <row r="937" spans="1:11" hidden="1">
      <c r="A937" s="9"/>
      <c r="B937" s="9"/>
      <c r="C937" s="9"/>
      <c r="D937" s="9"/>
      <c r="E937" s="9"/>
      <c r="F937" s="9"/>
      <c r="G937" s="9"/>
      <c r="H937" s="9"/>
      <c r="I937" s="9"/>
      <c r="J937" s="9"/>
      <c r="K937" s="9"/>
    </row>
    <row r="938" spans="1:11" hidden="1">
      <c r="A938" s="9"/>
      <c r="B938" s="9"/>
      <c r="C938" s="9"/>
      <c r="D938" s="9"/>
      <c r="E938" s="9"/>
      <c r="F938" s="9"/>
      <c r="G938" s="9"/>
      <c r="H938" s="9"/>
      <c r="I938" s="9"/>
      <c r="J938" s="9"/>
      <c r="K938" s="9"/>
    </row>
    <row r="939" spans="1:11" hidden="1">
      <c r="A939" s="9"/>
      <c r="B939" s="9"/>
      <c r="C939" s="9"/>
      <c r="D939" s="9"/>
      <c r="E939" s="9"/>
      <c r="F939" s="9"/>
      <c r="G939" s="9"/>
      <c r="H939" s="9"/>
      <c r="I939" s="9"/>
      <c r="J939" s="9"/>
      <c r="K939" s="9"/>
    </row>
    <row r="940" spans="1:11" hidden="1">
      <c r="A940" s="9"/>
      <c r="B940" s="9"/>
      <c r="C940" s="9"/>
      <c r="D940" s="9"/>
      <c r="E940" s="9"/>
      <c r="F940" s="9"/>
      <c r="G940" s="9"/>
      <c r="H940" s="9"/>
      <c r="I940" s="9"/>
      <c r="J940" s="9"/>
      <c r="K940" s="9"/>
    </row>
    <row r="941" spans="1:11" hidden="1">
      <c r="A941" s="9"/>
      <c r="B941" s="9"/>
      <c r="C941" s="9"/>
      <c r="D941" s="9"/>
      <c r="E941" s="9"/>
      <c r="F941" s="9"/>
      <c r="G941" s="9"/>
      <c r="H941" s="9"/>
      <c r="I941" s="9"/>
      <c r="J941" s="9"/>
      <c r="K941" s="9"/>
    </row>
    <row r="942" spans="1:11" hidden="1">
      <c r="A942" s="9"/>
      <c r="B942" s="9"/>
      <c r="C942" s="9"/>
      <c r="D942" s="9"/>
      <c r="E942" s="9"/>
      <c r="F942" s="9"/>
      <c r="G942" s="9"/>
      <c r="H942" s="9"/>
      <c r="I942" s="9"/>
      <c r="J942" s="9"/>
      <c r="K942" s="9"/>
    </row>
    <row r="943" spans="1:11" hidden="1">
      <c r="A943" s="9"/>
      <c r="B943" s="9"/>
      <c r="C943" s="9"/>
      <c r="D943" s="9"/>
      <c r="E943" s="9"/>
      <c r="F943" s="9"/>
      <c r="G943" s="9"/>
      <c r="H943" s="9"/>
      <c r="I943" s="9"/>
      <c r="J943" s="9"/>
      <c r="K943" s="9"/>
    </row>
    <row r="944" spans="1:11" hidden="1">
      <c r="A944" s="9"/>
      <c r="B944" s="9"/>
      <c r="C944" s="9"/>
      <c r="D944" s="9"/>
      <c r="E944" s="9"/>
      <c r="F944" s="9"/>
      <c r="G944" s="9"/>
      <c r="H944" s="9"/>
      <c r="I944" s="9"/>
      <c r="J944" s="9"/>
      <c r="K944" s="9"/>
    </row>
    <row r="945" spans="1:11" hidden="1">
      <c r="A945" s="9"/>
      <c r="B945" s="9"/>
      <c r="C945" s="9"/>
      <c r="D945" s="9"/>
      <c r="E945" s="9"/>
      <c r="F945" s="9"/>
      <c r="G945" s="9"/>
      <c r="H945" s="9"/>
      <c r="I945" s="9"/>
      <c r="J945" s="9"/>
      <c r="K945" s="9"/>
    </row>
    <row r="946" spans="1:11" hidden="1">
      <c r="A946" s="9"/>
      <c r="B946" s="9"/>
      <c r="C946" s="9"/>
      <c r="D946" s="9"/>
      <c r="E946" s="9"/>
      <c r="F946" s="9"/>
      <c r="G946" s="9"/>
      <c r="H946" s="9"/>
      <c r="I946" s="9"/>
      <c r="J946" s="9"/>
      <c r="K946" s="9"/>
    </row>
    <row r="947" spans="1:11" hidden="1">
      <c r="A947" s="9"/>
      <c r="B947" s="9"/>
      <c r="C947" s="9"/>
      <c r="D947" s="9"/>
      <c r="E947" s="9"/>
      <c r="F947" s="9"/>
      <c r="G947" s="9"/>
      <c r="H947" s="9"/>
      <c r="I947" s="9"/>
      <c r="J947" s="9"/>
      <c r="K947" s="9"/>
    </row>
    <row r="948" spans="1:11" hidden="1">
      <c r="A948" s="9"/>
      <c r="B948" s="9"/>
      <c r="C948" s="9"/>
      <c r="D948" s="9"/>
      <c r="E948" s="9"/>
      <c r="F948" s="9"/>
      <c r="G948" s="9"/>
      <c r="H948" s="9"/>
      <c r="I948" s="9"/>
      <c r="J948" s="9"/>
      <c r="K948" s="9"/>
    </row>
    <row r="949" spans="1:11" hidden="1">
      <c r="A949" s="9"/>
      <c r="B949" s="9"/>
      <c r="C949" s="9"/>
      <c r="D949" s="9"/>
      <c r="E949" s="9"/>
      <c r="F949" s="9"/>
      <c r="G949" s="9"/>
      <c r="H949" s="9"/>
      <c r="I949" s="9"/>
      <c r="J949" s="9"/>
      <c r="K949" s="9"/>
    </row>
    <row r="950" spans="1:11" hidden="1">
      <c r="A950" s="9"/>
      <c r="B950" s="9"/>
      <c r="C950" s="9"/>
      <c r="D950" s="9"/>
      <c r="E950" s="9"/>
      <c r="F950" s="9"/>
      <c r="G950" s="9"/>
      <c r="H950" s="9"/>
      <c r="I950" s="9"/>
      <c r="J950" s="9"/>
      <c r="K950" s="9"/>
    </row>
    <row r="951" spans="1:11" hidden="1">
      <c r="A951" s="9"/>
      <c r="B951" s="9"/>
      <c r="C951" s="9"/>
      <c r="D951" s="9"/>
      <c r="E951" s="9"/>
      <c r="F951" s="9"/>
      <c r="G951" s="9"/>
      <c r="H951" s="9"/>
      <c r="I951" s="9"/>
      <c r="J951" s="9"/>
      <c r="K951" s="9"/>
    </row>
    <row r="952" spans="1:11" hidden="1">
      <c r="A952" s="9"/>
      <c r="B952" s="9"/>
      <c r="C952" s="9"/>
      <c r="D952" s="9"/>
      <c r="E952" s="9"/>
      <c r="F952" s="9"/>
      <c r="G952" s="9"/>
      <c r="H952" s="9"/>
      <c r="I952" s="9"/>
      <c r="J952" s="9"/>
      <c r="K952" s="9"/>
    </row>
    <row r="953" spans="1:11" hidden="1">
      <c r="A953" s="9"/>
      <c r="B953" s="9"/>
      <c r="C953" s="9"/>
      <c r="D953" s="9"/>
      <c r="E953" s="9"/>
      <c r="F953" s="9"/>
      <c r="G953" s="9"/>
      <c r="H953" s="9"/>
      <c r="I953" s="9"/>
      <c r="J953" s="9"/>
      <c r="K953" s="9"/>
    </row>
    <row r="954" spans="1:11" hidden="1">
      <c r="A954" s="9"/>
      <c r="B954" s="9"/>
      <c r="C954" s="9"/>
      <c r="D954" s="9"/>
      <c r="E954" s="9"/>
      <c r="F954" s="9"/>
      <c r="G954" s="9"/>
      <c r="H954" s="9"/>
      <c r="I954" s="9"/>
      <c r="J954" s="9"/>
      <c r="K954" s="9"/>
    </row>
    <row r="955" spans="1:11" hidden="1">
      <c r="A955" s="9"/>
      <c r="B955" s="9"/>
      <c r="C955" s="9"/>
      <c r="D955" s="9"/>
      <c r="E955" s="9"/>
      <c r="F955" s="9"/>
      <c r="G955" s="9"/>
      <c r="H955" s="9"/>
      <c r="I955" s="9"/>
      <c r="J955" s="9"/>
      <c r="K955" s="9"/>
    </row>
    <row r="956" spans="1:11" hidden="1">
      <c r="A956" s="9"/>
      <c r="B956" s="9"/>
      <c r="C956" s="9"/>
      <c r="D956" s="9"/>
      <c r="E956" s="9"/>
      <c r="F956" s="9"/>
      <c r="G956" s="9"/>
      <c r="H956" s="9"/>
      <c r="I956" s="9"/>
      <c r="J956" s="9"/>
      <c r="K956" s="9"/>
    </row>
    <row r="957" spans="1:11" hidden="1">
      <c r="A957" s="9"/>
      <c r="B957" s="9"/>
      <c r="C957" s="9"/>
      <c r="D957" s="9"/>
      <c r="E957" s="9"/>
      <c r="F957" s="9"/>
      <c r="G957" s="9"/>
      <c r="H957" s="9"/>
      <c r="I957" s="9"/>
      <c r="J957" s="9"/>
      <c r="K957" s="9"/>
    </row>
    <row r="958" spans="1:11" hidden="1">
      <c r="A958" s="9"/>
      <c r="B958" s="9"/>
      <c r="C958" s="9"/>
      <c r="D958" s="9"/>
      <c r="E958" s="9"/>
      <c r="F958" s="9"/>
      <c r="G958" s="9"/>
      <c r="H958" s="9"/>
      <c r="I958" s="9"/>
      <c r="J958" s="9"/>
      <c r="K958" s="9"/>
    </row>
    <row r="959" spans="1:11" hidden="1">
      <c r="A959" s="9"/>
      <c r="B959" s="9"/>
      <c r="C959" s="9"/>
      <c r="D959" s="9"/>
      <c r="E959" s="9"/>
      <c r="F959" s="9"/>
      <c r="G959" s="9"/>
      <c r="H959" s="9"/>
      <c r="I959" s="9"/>
      <c r="J959" s="9"/>
      <c r="K959" s="9"/>
    </row>
    <row r="960" spans="1:11" hidden="1">
      <c r="A960" s="9"/>
      <c r="B960" s="9"/>
      <c r="C960" s="9"/>
      <c r="D960" s="9"/>
      <c r="E960" s="9"/>
      <c r="F960" s="9"/>
      <c r="G960" s="9"/>
      <c r="H960" s="9"/>
      <c r="I960" s="9"/>
      <c r="J960" s="9"/>
      <c r="K960" s="9"/>
    </row>
    <row r="961" spans="1:11" hidden="1">
      <c r="A961" s="9"/>
      <c r="B961" s="9"/>
      <c r="C961" s="9"/>
      <c r="D961" s="9"/>
      <c r="E961" s="9"/>
      <c r="F961" s="9"/>
      <c r="G961" s="9"/>
      <c r="H961" s="9"/>
      <c r="I961" s="9"/>
      <c r="J961" s="9"/>
      <c r="K961" s="9"/>
    </row>
    <row r="962" spans="1:11" hidden="1">
      <c r="A962" s="9"/>
      <c r="B962" s="9"/>
      <c r="C962" s="9"/>
      <c r="D962" s="9"/>
      <c r="E962" s="9"/>
      <c r="F962" s="9"/>
      <c r="G962" s="9"/>
      <c r="H962" s="9"/>
      <c r="I962" s="9"/>
      <c r="J962" s="9"/>
      <c r="K962" s="9"/>
    </row>
    <row r="963" spans="1:11"/>
  </sheetData>
  <sheetProtection algorithmName="SHA-512" hashValue="5lVhjBBj3Vz32/r3F9PA378FNZnkMW0R/9wdp2CasIig5HxYlLMjWoGNXltCVTyvs42EaTdtES6ngr4yEAt4dg==" saltValue="NV5Y54K80XLT9lMRjf5k5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51" zoomScale="80" zoomScaleNormal="80" workbookViewId="0">
      <selection activeCell="D60" sqref="D60"/>
    </sheetView>
  </sheetViews>
  <sheetFormatPr baseColWidth="10" defaultColWidth="0" defaultRowHeight="0" customHeight="1" zeroHeight="1"/>
  <cols>
    <col min="1" max="1" width="8.25" customWidth="1"/>
    <col min="2" max="2" width="55.125" style="1" customWidth="1"/>
    <col min="3" max="3" width="18.875" style="14" customWidth="1"/>
    <col min="4" max="4" width="55.75" style="15" customWidth="1"/>
    <col min="5" max="5" width="32" style="16" customWidth="1"/>
    <col min="6" max="6" width="30.75"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c r="A1" t="s">
        <v>1530</v>
      </c>
    </row>
    <row r="2" spans="1:10" ht="36" customHeight="1">
      <c r="A2" s="175" t="s">
        <v>1600</v>
      </c>
      <c r="B2" s="175"/>
      <c r="C2" s="176"/>
      <c r="D2" s="328"/>
      <c r="E2" s="177"/>
      <c r="F2" s="177" t="str">
        <f>'Auto Responses'!$A$36</f>
        <v>Version 4.1.0</v>
      </c>
      <c r="J2" s="1"/>
    </row>
    <row r="3" spans="1:10" s="1" customFormat="1" ht="29" customHeight="1">
      <c r="A3" s="44" t="s">
        <v>996</v>
      </c>
      <c r="B3" s="45"/>
      <c r="C3" s="73">
        <f>'START HERE'!$C$3</f>
        <v>46216</v>
      </c>
      <c r="D3" s="329"/>
      <c r="E3" s="43"/>
      <c r="F3" s="57"/>
      <c r="I3" s="42"/>
    </row>
    <row r="4" spans="1:10" s="1" customFormat="1" ht="36" customHeight="1">
      <c r="A4" s="17" t="s">
        <v>921</v>
      </c>
      <c r="B4" s="18"/>
      <c r="C4" s="19"/>
      <c r="D4" s="20"/>
      <c r="E4" s="21"/>
      <c r="F4" s="21"/>
      <c r="I4" s="42"/>
    </row>
    <row r="5" spans="1:10" s="1" customFormat="1" ht="19.5" customHeight="1">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c r="A8" s="49" t="str">
        <f>HLOOKUP($A$4,'Auto Responses'!$D$2:$D$8,5,0)&amp;""</f>
        <v>4. DO NOT complete any fields in the "Evaluation" sheets or the "Analyst Notes" column.</v>
      </c>
      <c r="B8" s="22"/>
      <c r="C8" s="74"/>
      <c r="D8" s="330"/>
      <c r="E8" s="22"/>
      <c r="F8" s="280"/>
      <c r="I8" s="42"/>
    </row>
    <row r="9" spans="1:10" s="1" customFormat="1" ht="19.5" customHeight="1">
      <c r="A9" s="49" t="str">
        <f>HLOOKUP($A$4,'Auto Responses'!$D$2:$D$8,6,0)&amp;""</f>
        <v>5. Return the completed file to institutions.</v>
      </c>
      <c r="B9" s="22"/>
      <c r="C9" s="74"/>
      <c r="D9" s="330"/>
      <c r="E9" s="22"/>
      <c r="F9" s="280"/>
      <c r="I9" s="42"/>
    </row>
    <row r="10" spans="1:10" s="1" customFormat="1" ht="19.5" customHeight="1">
      <c r="A10" s="265" t="str">
        <f>HLOOKUP($A$4,'Auto Responses'!$D$2:$D$8,7,0)&amp;""</f>
        <v>* Denotes critical questions. Critical questions are those deemed most important to institutions by higher education volunteers.</v>
      </c>
      <c r="B10" s="22"/>
      <c r="C10" s="74"/>
      <c r="D10" s="330"/>
      <c r="E10" s="22"/>
      <c r="F10" s="280"/>
      <c r="I10" s="42"/>
    </row>
    <row r="11" spans="1:10" s="267" customFormat="1" ht="19.5" customHeight="1">
      <c r="A11" s="264" t="str">
        <f>HLOOKUP($A$4,'Auto Responses'!$D$2:$D$9,8,0)&amp;""</f>
        <v>For full instructions, please visit educause.edu/HECVAT</v>
      </c>
      <c r="B11" s="265"/>
      <c r="C11" s="266"/>
      <c r="D11" s="339"/>
      <c r="E11" s="265"/>
      <c r="F11" s="282"/>
      <c r="I11" s="268"/>
    </row>
    <row r="12" spans="1:10" s="1" customFormat="1" ht="36" customHeight="1">
      <c r="A12" s="70" t="str">
        <f>VLOOKUP(LEFT($A13,4),'Auto Responses'!$N$4:$O$38,2,0)&amp;""</f>
        <v xml:space="preserve"> General Information</v>
      </c>
      <c r="B12" s="18"/>
      <c r="C12" s="19" t="s">
        <v>1583</v>
      </c>
      <c r="D12" s="331"/>
      <c r="E12" s="23"/>
      <c r="F12" s="23"/>
      <c r="I12" s="42"/>
      <c r="J12" s="42"/>
    </row>
    <row r="13" spans="1:10" s="1" customFormat="1" ht="22.25" customHeight="1">
      <c r="A13" s="25" t="s">
        <v>21</v>
      </c>
      <c r="B13" s="26" t="str">
        <f>VLOOKUP($A13,Questions!$A$2:$X$333,2,0)&amp;""</f>
        <v>Solution Provider Name</v>
      </c>
      <c r="C13" s="83" t="str">
        <f>VLOOKUP($A13,'START HERE'!$A$13:$C$21,3,0)&amp;""</f>
        <v>America's Software Corporation</v>
      </c>
      <c r="D13" s="39"/>
      <c r="E13" s="39"/>
      <c r="F13" s="57"/>
      <c r="I13" s="42"/>
      <c r="J13" s="42"/>
    </row>
    <row r="14" spans="1:10" s="1" customFormat="1" ht="22.25" customHeight="1">
      <c r="A14" s="25" t="s">
        <v>24</v>
      </c>
      <c r="B14" s="26" t="str">
        <f>VLOOKUP($A14,Questions!$A$2:$X$333,2,0)&amp;""</f>
        <v>Solution Name</v>
      </c>
      <c r="C14" s="83" t="str">
        <f>VLOOKUP($A14,'START HERE'!$A$13:$C$21,3,0)&amp;""</f>
        <v>TalEval, Discovery Pro</v>
      </c>
      <c r="D14" s="39"/>
      <c r="E14" s="39"/>
      <c r="F14" s="57"/>
      <c r="I14" s="42"/>
      <c r="J14" s="42"/>
    </row>
    <row r="15" spans="1:10" s="1" customFormat="1" ht="22.25" customHeight="1">
      <c r="A15" s="25" t="s">
        <v>25</v>
      </c>
      <c r="B15" s="26" t="str">
        <f>VLOOKUP($A15,Questions!$A$2:$X$333,2,0)&amp;""</f>
        <v>Solution Description</v>
      </c>
      <c r="C15" s="83" t="str">
        <f>VLOOKUP($A15,'START HERE'!$A$13:$C$21,3,0)&amp;""</f>
        <v>Dental Hygiene/COS Student  Tracking</v>
      </c>
      <c r="D15" s="39"/>
      <c r="E15" s="39"/>
      <c r="F15" s="57"/>
      <c r="I15" s="42"/>
      <c r="J15" s="42"/>
    </row>
    <row r="16" spans="1:10" s="1" customFormat="1" ht="22.25" customHeight="1">
      <c r="A16" s="25" t="s">
        <v>26</v>
      </c>
      <c r="B16" s="26" t="str">
        <f>VLOOKUP($A16,Questions!$A$2:$X$333,2,0)&amp;""</f>
        <v>Solution Provider Contact Name</v>
      </c>
      <c r="C16" s="83" t="str">
        <f>VLOOKUP($A16,'START HERE'!$A$13:$C$21,3,0)&amp;""</f>
        <v>Connie Harper</v>
      </c>
      <c r="D16" s="39"/>
      <c r="E16" s="39"/>
      <c r="F16" s="57"/>
      <c r="I16" s="42"/>
      <c r="J16" s="42"/>
    </row>
    <row r="17" spans="1:10" s="1" customFormat="1" ht="22.25" customHeight="1">
      <c r="A17" s="25" t="s">
        <v>27</v>
      </c>
      <c r="B17" s="26" t="str">
        <f>VLOOKUP($A17,Questions!$A$2:$X$333,2,0)&amp;""</f>
        <v>Solution Provider Contact Title</v>
      </c>
      <c r="C17" s="83" t="str">
        <f>VLOOKUP($A17,'START HERE'!$A$13:$C$21,3,0)&amp;""</f>
        <v>President</v>
      </c>
      <c r="D17" s="39"/>
      <c r="E17" s="39"/>
      <c r="F17" s="57"/>
      <c r="I17" s="42"/>
      <c r="J17" s="42"/>
    </row>
    <row r="18" spans="1:10" s="1" customFormat="1" ht="22.25" customHeight="1">
      <c r="A18" s="25" t="s">
        <v>28</v>
      </c>
      <c r="B18" s="26" t="str">
        <f>VLOOKUP($A18,Questions!$A$2:$X$333,2,0)&amp;""</f>
        <v>Solution Provider Contact Email</v>
      </c>
      <c r="C18" s="83" t="str">
        <f>VLOOKUP($A18,'START HERE'!$A$13:$C$21,3,0)&amp;""</f>
        <v>taleval@icloud.com</v>
      </c>
      <c r="D18" s="39"/>
      <c r="E18" s="39"/>
      <c r="F18" s="57"/>
      <c r="I18" s="42"/>
      <c r="J18" s="42"/>
    </row>
    <row r="19" spans="1:10" s="1" customFormat="1" ht="22.25" customHeight="1">
      <c r="A19" s="25" t="s">
        <v>29</v>
      </c>
      <c r="B19" s="26" t="str">
        <f>VLOOKUP($A19,Questions!$A$2:$X$333,2,0)&amp;""</f>
        <v>Solution Provider Contact Phone Number</v>
      </c>
      <c r="C19" s="83" t="str">
        <f>VLOOKUP($A19,'START HERE'!$A$13:$C$21,3,0)&amp;""</f>
        <v>800-467-1170</v>
      </c>
      <c r="D19" s="39"/>
      <c r="E19" s="39"/>
      <c r="F19" s="57"/>
      <c r="I19" s="42"/>
      <c r="J19" s="42"/>
    </row>
    <row r="20" spans="1:10" s="1" customFormat="1" ht="22.25" customHeight="1" thickBot="1">
      <c r="A20" s="25" t="s">
        <v>30</v>
      </c>
      <c r="B20" s="26" t="str">
        <f>VLOOKUP($A20,Questions!$A$2:$X$333,2,0)&amp;""</f>
        <v>Country of Company Headquarters</v>
      </c>
      <c r="C20" s="83" t="str">
        <f>VLOOKUP($A20,'START HERE'!$A$13:$C$21,3,0)&amp;""</f>
        <v>USA</v>
      </c>
      <c r="D20" s="39"/>
      <c r="E20" s="39"/>
      <c r="F20" s="57"/>
      <c r="I20" s="42"/>
      <c r="J20" s="42"/>
    </row>
    <row r="21" spans="1:10" s="1" customFormat="1" ht="37.25" customHeight="1" thickBot="1">
      <c r="A21" s="70" t="str">
        <f>VLOOKUP(LEFT($A22,4),'Auto Responses'!$N$4:$O$38,2,0)&amp;""</f>
        <v xml:space="preserve"> Documentation</v>
      </c>
      <c r="B21" s="29"/>
      <c r="C21" s="19" t="s">
        <v>1583</v>
      </c>
      <c r="D21" s="19" t="s">
        <v>72</v>
      </c>
      <c r="E21" s="38" t="s">
        <v>904</v>
      </c>
      <c r="F21" s="194" t="s">
        <v>905</v>
      </c>
      <c r="I21" s="42"/>
      <c r="J21" s="42"/>
    </row>
    <row r="22" spans="1:10" s="1" customFormat="1" ht="38.25" customHeight="1">
      <c r="A22" s="25" t="s">
        <v>70</v>
      </c>
      <c r="B22" s="24" t="str">
        <f>VLOOKUP($A22,Questions!$A$2:$X$333,2,0)</f>
        <v>Do you have a well-documented business continuity plan (BCP), with a clear owner, that is tested annually?*</v>
      </c>
      <c r="C22" s="27" t="s">
        <v>1652</v>
      </c>
      <c r="D22" s="41"/>
      <c r="E22" s="174" t="str">
        <f>IF($C22="Yes",VLOOKUP($A22,Questions!$A$2:$X$333,17,0)&amp;"",IF($C22="No",VLOOKUP($A22,Questions!$A$2:$X$333,16,0)&amp;"",VLOOKUP($A22,Questions!$A$2:$X$333,15,0)&amp;""))</f>
        <v/>
      </c>
      <c r="F22" s="208" t="str">
        <f>VLOOKUP($A22,'Institution Evaluation'!$A$56:$F$346,6,0)&amp;""</f>
        <v/>
      </c>
      <c r="I22" s="42"/>
      <c r="J22" s="42"/>
    </row>
    <row r="23" spans="1:10" s="1" customFormat="1" ht="38.25" customHeight="1">
      <c r="A23" s="25" t="s">
        <v>76</v>
      </c>
      <c r="B23" s="24" t="str">
        <f>VLOOKUP($A23,Questions!$A$2:$X$333,2,0)</f>
        <v>Do you have a well-documented disaster recovery plan (DRP), with a clear owner, that is tested annually?*</v>
      </c>
      <c r="C23" s="27" t="s">
        <v>1652</v>
      </c>
      <c r="D23" s="41"/>
      <c r="E23" s="174" t="str">
        <f>IF($C23="Yes",VLOOKUP($A23,Questions!$A$2:$X$333,17,0)&amp;"",IF($C23="No",VLOOKUP($A23,Questions!$A$2:$X$333,16,0)&amp;"",VLOOKUP($A23,Questions!$A$2:$X$333,15,0)&amp;""))</f>
        <v/>
      </c>
      <c r="F23" s="208" t="str">
        <f>VLOOKUP($A23,'Institution Evaluation'!$A$56:$F$346,6,0)&amp;""</f>
        <v/>
      </c>
      <c r="I23" s="42"/>
      <c r="J23" s="42"/>
    </row>
    <row r="24" spans="1:10" s="1" customFormat="1" ht="45.75" customHeight="1">
      <c r="A24" s="25" t="s">
        <v>77</v>
      </c>
      <c r="B24" s="24" t="str">
        <f>VLOOKUP($A24,Questions!$A$2:$X$333,2,0)</f>
        <v>Have you undergone a SSAE 18/SOC 2 audit?</v>
      </c>
      <c r="C24" s="27" t="s">
        <v>1652</v>
      </c>
      <c r="D24" s="367" t="s">
        <v>1759</v>
      </c>
      <c r="E24" s="174" t="str">
        <f>IF($C24="Yes",VLOOKUP($A24,Questions!$A$2:$X$333,17,0)&amp;"",IF($C24="No",VLOOKUP($A24,Questions!$A$2:$X$333,16,0)&amp;"",VLOOKUP($A24,Questions!$A$2:$X$333,15,0)&amp;""))</f>
        <v>Provide the date of assessment and include a SOC 2 Type 2 (preferred) or SOC 3 report. If you have a SOC 3 report, state how to obtain a copy. Indicate if your hosting provider was the subject of the audit.</v>
      </c>
      <c r="F24" s="208" t="str">
        <f>VLOOKUP($A24,'Institution Evaluation'!$A$56:$F$346,6,0)&amp;""</f>
        <v/>
      </c>
      <c r="I24" s="42"/>
      <c r="J24" s="42"/>
    </row>
    <row r="25" spans="1:10" s="1" customFormat="1" ht="48" customHeight="1">
      <c r="A25" s="25" t="s">
        <v>80</v>
      </c>
      <c r="B25" s="24" t="str">
        <f>VLOOKUP($A25,Questions!$A$2:$X$333,2,0)</f>
        <v>Do you conform with a specific industry standard security framework (e.g., NIST Cybersecurity Framework, CIS Controls, ISO 27001, etc.)?</v>
      </c>
      <c r="C25" s="27" t="s">
        <v>1652</v>
      </c>
      <c r="D25" s="367" t="s">
        <v>1760</v>
      </c>
      <c r="E25" s="174" t="str">
        <f>IF($C25="Yes",VLOOKUP($A25,Questions!$A$2:$X$333,17,0)&amp;"",IF($C25="No",VLOOKUP($A25,Questions!$A$2:$X$333,16,0)&amp;"",VLOOKUP($A25,Questions!$A$2:$X$333,15,0)&amp;""))</f>
        <v>Provide documentation on how your organization conforms to your chosen framework and indicate current certification levels, where appropriate.</v>
      </c>
      <c r="F25" s="208" t="str">
        <f>VLOOKUP($A25,'Institution Evaluation'!$A$56:$F$346,6,0)&amp;""</f>
        <v/>
      </c>
      <c r="I25" s="42"/>
      <c r="J25" s="42"/>
    </row>
    <row r="26" spans="1:10" s="1" customFormat="1" ht="52.5" customHeight="1">
      <c r="A26" s="25" t="s">
        <v>84</v>
      </c>
      <c r="B26" s="24" t="str">
        <f>VLOOKUP($A26,Questions!$A$2:$X$333,2,0)</f>
        <v>Can you provide overall system and/or application architecture diagrams, including a full description of the data flow for all components of the system?</v>
      </c>
      <c r="C26" s="27" t="s">
        <v>1652</v>
      </c>
      <c r="D26" s="367" t="s">
        <v>1760</v>
      </c>
      <c r="E26" s="174" t="str">
        <f>IF($C26="Yes",VLOOKUP($A26,Questions!$A$2:$X$333,17,0)&amp;"",IF($C26="No",VLOOKUP($A26,Questions!$A$2:$X$333,16,0)&amp;"",VLOOKUP($A26,Questions!$A$2:$X$333,15,0)&amp;""))</f>
        <v>Provide your diagrams (or a valid link to it) upon submission.</v>
      </c>
      <c r="F26" s="208" t="str">
        <f>VLOOKUP($A26,'Institution Evaluation'!$A$56:$F$346,6,0)&amp;""</f>
        <v/>
      </c>
      <c r="I26" s="42"/>
      <c r="J26" s="42"/>
    </row>
    <row r="27" spans="1:10" s="1" customFormat="1" ht="55.5" customHeight="1">
      <c r="A27" s="25" t="s">
        <v>88</v>
      </c>
      <c r="B27" s="24" t="str">
        <f>VLOOKUP($A27,Questions!$A$2:$X$333,2,0)</f>
        <v>Does your organization have a data privacy policy?</v>
      </c>
      <c r="C27" s="27" t="s">
        <v>1652</v>
      </c>
      <c r="D27" s="368" t="s">
        <v>1665</v>
      </c>
      <c r="E27" s="174" t="str">
        <f>IF($C27="Yes",VLOOKUP($A27,Questions!$A$2:$X$333,17,0)&amp;"",IF($C27="No",VLOOKUP($A27,Questions!$A$2:$X$333,16,0)&amp;"",VLOOKUP($A27,Questions!$A$2:$X$333,15,0)&amp;""))</f>
        <v>Provide your data privacy document (or a valid link to it) upon submission.</v>
      </c>
      <c r="F27" s="208" t="str">
        <f>VLOOKUP($A27,'Institution Evaluation'!$A$56:$F$346,6,0)&amp;""</f>
        <v/>
      </c>
      <c r="I27" s="42"/>
      <c r="J27" s="42"/>
    </row>
    <row r="28" spans="1:10" s="1" customFormat="1" ht="38.25" customHeight="1" thickBot="1">
      <c r="A28" s="25" t="s">
        <v>92</v>
      </c>
      <c r="B28" s="24" t="str">
        <f>VLOOKUP($A28,Questions!$A$2:$X$333,2,0)</f>
        <v>Do you have a documented, and currently implemented, employee onboarding and offboarding policy?</v>
      </c>
      <c r="C28" s="27" t="s">
        <v>1654</v>
      </c>
      <c r="D28" s="41" t="s">
        <v>1666</v>
      </c>
      <c r="E28" s="174" t="str">
        <f>IF($C28="Yes",VLOOKUP($A28,Questions!$A$2:$X$333,17,0)&amp;"",IF($C28="No",VLOOKUP($A28,Questions!$A$2:$X$333,16,0)&amp;"",VLOOKUP($A28,Questions!$A$2:$X$333,15,0)&amp;""))</f>
        <v>Briefly summarize your response.</v>
      </c>
      <c r="F28" s="208" t="str">
        <f>VLOOKUP($A28,'Institution Evaluation'!$A$56:$F$346,6,0)&amp;""</f>
        <v/>
      </c>
      <c r="G28" s="255" t="s">
        <v>1531</v>
      </c>
      <c r="I28" s="42"/>
      <c r="J28" s="42"/>
    </row>
    <row r="29" spans="1:10" s="1" customFormat="1" ht="37.25" customHeight="1" thickBot="1">
      <c r="A29" s="70" t="str">
        <f>VLOOKUP(LEFT($A30,4),'Auto Responses'!$N$4:$O$38,2,0)&amp;""</f>
        <v xml:space="preserve"> Assessment of Third Parties</v>
      </c>
      <c r="B29" s="29"/>
      <c r="C29" s="19" t="s">
        <v>1583</v>
      </c>
      <c r="D29" s="19" t="s">
        <v>72</v>
      </c>
      <c r="E29" s="38" t="s">
        <v>904</v>
      </c>
      <c r="F29" s="194" t="s">
        <v>905</v>
      </c>
      <c r="I29" s="42"/>
      <c r="J29" s="42"/>
    </row>
    <row r="30" spans="1:10" s="1" customFormat="1" ht="46.5" customHeight="1">
      <c r="A30" s="25" t="s">
        <v>130</v>
      </c>
      <c r="B30" s="24" t="str">
        <f>VLOOKUP($A30,Questions!$A$2:$X$333,2,0)</f>
        <v>Do you perform security assessments of third-party companies with which you share data (e.g., hosting providers, cloud services, PaaS, IaaS, SaaS)?*</v>
      </c>
      <c r="C30" s="27" t="s">
        <v>1652</v>
      </c>
      <c r="D30" s="364" t="s">
        <v>1761</v>
      </c>
      <c r="E30" s="174" t="str">
        <f>IF($C30="Yes",VLOOKUP($A30,Questions!$A$2:$X$333,17,0)&amp;"",IF($C30="No",VLOOKUP($A30,Questions!$A$2:$X$333,16,0)&amp;"",VLOOKUP($A30,Questions!$A$2:$X$333,15,0)&amp;""))</f>
        <v>Provide a summary of your practices that assures that the third party will be subject to the appropriate standards regarding security, service recoverability, and confidentiality.</v>
      </c>
      <c r="F30" s="208" t="str">
        <f>VLOOKUP($A30,'Institution Evaluation'!$A$56:$F$346,6,0)&amp;""</f>
        <v/>
      </c>
      <c r="I30" s="42"/>
      <c r="J30" s="42"/>
    </row>
    <row r="31" spans="1:10" s="1" customFormat="1" ht="61.5" customHeight="1">
      <c r="A31" s="25" t="s">
        <v>134</v>
      </c>
      <c r="B31" s="24" t="str">
        <f>VLOOKUP($A31,Questions!$A$2:$X$333,2,0)</f>
        <v>Do you have contractual language in place with third parties governing access to institutional data?*</v>
      </c>
      <c r="C31" s="27" t="s">
        <v>1652</v>
      </c>
      <c r="D31" s="364" t="s">
        <v>1762</v>
      </c>
      <c r="E31" s="174" t="str">
        <f>IF($C31="Yes",VLOOKUP($A31,Questions!$A$2:$X$333,17,0)&amp;"",IF($C31="No",VLOOKUP($A31,Questions!$A$2:$X$333,16,0)&amp;"",VLOOKUP($A31,Questions!$A$2:$X$333,15,0)&amp;""))</f>
        <v>List each third party and why institutional data is shared with them. Format example: [Third Party Name] - Reason</v>
      </c>
      <c r="F31" s="208" t="str">
        <f>VLOOKUP($A31,'Institution Evaluation'!$A$56:$F$346,6,0)&amp;""</f>
        <v/>
      </c>
      <c r="I31" s="42"/>
      <c r="J31" s="42"/>
    </row>
    <row r="32" spans="1:10" s="1" customFormat="1" ht="50.25" customHeight="1">
      <c r="A32" s="25" t="s">
        <v>137</v>
      </c>
      <c r="B32" s="24" t="str">
        <f>VLOOKUP($A32,Questions!$A$2:$X$333,2,0)</f>
        <v>Do the contracts in place with these third parties address liability in the event of a data breach?*</v>
      </c>
      <c r="C32" s="27" t="s">
        <v>1652</v>
      </c>
      <c r="D32" s="367" t="s">
        <v>1760</v>
      </c>
      <c r="E32" s="174" t="str">
        <f>IF($C32="Yes",VLOOKUP($A32,Questions!$A$2:$X$333,17,0)&amp;"",IF($C32="No",VLOOKUP($A32,Questions!$A$2:$X$333,16,0)&amp;"",VLOOKUP($A32,Questions!$A$2:$X$333,15,0)&amp;""))</f>
        <v/>
      </c>
      <c r="F32" s="208" t="str">
        <f>VLOOKUP($A32,'Institution Evaluation'!$A$56:$F$346,6,0)&amp;""</f>
        <v/>
      </c>
      <c r="I32" s="42"/>
      <c r="J32" s="42"/>
    </row>
    <row r="33" spans="1:10" s="1" customFormat="1" ht="62.25" customHeight="1">
      <c r="A33" s="25" t="s">
        <v>138</v>
      </c>
      <c r="B33" s="24" t="str">
        <f>VLOOKUP($A33,Questions!$A$2:$X$333,2,0)</f>
        <v>Do you have an implemented third-party management strategy?*</v>
      </c>
      <c r="C33" s="27" t="s">
        <v>1652</v>
      </c>
      <c r="D33" s="369" t="s">
        <v>1687</v>
      </c>
      <c r="E33" s="174" t="str">
        <f>IF($C33="Yes",VLOOKUP($A33,Questions!$A$2:$X$333,17,0)&amp;"",IF($C33="No",VLOOKUP($A33,Questions!$A$2:$X$333,16,0)&amp;"",VLOOKUP($A33,Questions!$A$2:$X$333,15,0)&amp;""))</f>
        <v>Provide additional information that may help analysts better understand your environment and how it relates to third-party solutions.</v>
      </c>
      <c r="F33" s="208" t="str">
        <f>VLOOKUP($A33,'Institution Evaluation'!$A$56:$F$346,6,0)&amp;""</f>
        <v/>
      </c>
      <c r="I33" s="42"/>
      <c r="J33" s="42"/>
    </row>
    <row r="34" spans="1:10" s="1" customFormat="1" ht="53.25" customHeight="1" thickBot="1">
      <c r="A34" s="25" t="s">
        <v>141</v>
      </c>
      <c r="B34" s="24" t="str">
        <f>VLOOKUP($A34,Questions!$A$2:$X$333,2,0)</f>
        <v>Do you have a process and implemented procedures for managing your hardware supply chain (e.g., telecommunications equipment, export licensing, computing devices)?</v>
      </c>
      <c r="C34" s="27" t="s">
        <v>1652</v>
      </c>
      <c r="D34" s="364" t="s">
        <v>1677</v>
      </c>
      <c r="E34" s="174" t="str">
        <f>IF($C34="Yes",VLOOKUP($A34,Questions!$A$2:$X$333,17,0)&amp;"",IF($C34="No",VLOOKUP($A34,Questions!$A$2:$X$333,16,0)&amp;"",VLOOKUP($A34,Questions!$A$2:$X$333,15,0)&amp;""))</f>
        <v>State what countries and/or regions this process is compliant with.</v>
      </c>
      <c r="F34" s="208" t="str">
        <f>VLOOKUP($A34,'Institution Evaluation'!$A$56:$F$346,6,0)&amp;""</f>
        <v/>
      </c>
      <c r="G34" s="255" t="s">
        <v>1531</v>
      </c>
      <c r="I34" s="42"/>
      <c r="J34" s="42"/>
    </row>
    <row r="35" spans="1:10" s="1" customFormat="1" ht="37.25" customHeight="1" thickBot="1">
      <c r="A35" s="70" t="str">
        <f>VLOOKUP(LEFT($A36,4),'Auto Responses'!$N$4:$O$38,2,0)&amp;""</f>
        <v xml:space="preserve"> Change Management</v>
      </c>
      <c r="B35" s="29"/>
      <c r="C35" s="19" t="s">
        <v>1583</v>
      </c>
      <c r="D35" s="19" t="s">
        <v>72</v>
      </c>
      <c r="E35" s="38" t="s">
        <v>904</v>
      </c>
      <c r="F35" s="194" t="s">
        <v>905</v>
      </c>
      <c r="I35" s="42"/>
      <c r="J35" s="42"/>
    </row>
    <row r="36" spans="1:10" s="1" customFormat="1" ht="38.25" customHeight="1">
      <c r="A36" s="25" t="s">
        <v>280</v>
      </c>
      <c r="B36" s="24" t="str">
        <f>VLOOKUP($A36,Questions!$A$2:$X$333,2,0)</f>
        <v>Will the institution be notified of major changes to your environment that could impact the institution's security posture?*</v>
      </c>
      <c r="C36" s="27" t="s">
        <v>1652</v>
      </c>
      <c r="D36" s="364" t="s">
        <v>1688</v>
      </c>
      <c r="E36" s="174" t="str">
        <f>IF($C36="Yes",VLOOKUP($A36,Questions!$A$2:$X$333,17,0)&amp;"",IF($C36="No",VLOOKUP($A36,Questions!$A$2:$X$333,16,0)&amp;"",VLOOKUP($A36,Questions!$A$2:$X$333,15,0)&amp;""))</f>
        <v>State how and when the institution will be notified of major changes to your environment.</v>
      </c>
      <c r="F36" s="208" t="str">
        <f>VLOOKUP($A36,'Institution Evaluation'!$A$56:$F$346,6,0)&amp;""</f>
        <v/>
      </c>
      <c r="I36" s="42"/>
      <c r="J36" s="42"/>
    </row>
    <row r="37" spans="1:10" s="1" customFormat="1" ht="54" customHeight="1">
      <c r="A37" s="25" t="s">
        <v>285</v>
      </c>
      <c r="B37" s="24" t="str">
        <f>VLOOKUP($A37,Questions!$A$2:$X$333,2,0)</f>
        <v>Does the system support client customizations from one release to another?*</v>
      </c>
      <c r="C37" s="27" t="s">
        <v>1652</v>
      </c>
      <c r="D37" s="364" t="s">
        <v>1797</v>
      </c>
      <c r="E37" s="174" t="str">
        <f>IF($C37="Yes",VLOOKUP($A37,Questions!$A$2:$X$333,17,0)&amp;"",IF($C37="No",VLOOKUP($A37,Questions!$A$2:$X$333,16,0)&amp;"",IF($C37="N/A",VLOOKUP($A37,Questions!$A$2:$X$333,18,0)&amp;"",VLOOKUP($A37,Questions!$A$2:$X$333,15,0)&amp;"")))</f>
        <v>Describe or provide reference to your solution support strategy in regard to maintaining client customizations from one release to another.</v>
      </c>
      <c r="F37" s="208" t="str">
        <f>VLOOKUP($A37,'Institution Evaluation'!$A$56:$F$346,6,0)&amp;""</f>
        <v/>
      </c>
      <c r="I37" s="42"/>
      <c r="J37" s="42"/>
    </row>
    <row r="38" spans="1:10" s="1" customFormat="1" ht="65.25" customHeight="1">
      <c r="A38" s="25" t="s">
        <v>286</v>
      </c>
      <c r="B38" s="24" t="str">
        <f>VLOOKUP($A38,Questions!$A$2:$X$333,2,0)</f>
        <v>Do you have an implemented system configuration management process (e.g.,secure "gold" images, etc.)?*</v>
      </c>
      <c r="C38" s="27" t="s">
        <v>1652</v>
      </c>
      <c r="D38" s="364" t="s">
        <v>1763</v>
      </c>
      <c r="E38" s="174" t="str">
        <f>IF($C38="Yes",VLOOKUP($A38,Questions!$A$2:$X$333,17,0)&amp;"",IF($C38="No",VLOOKUP($A38,Questions!$A$2:$X$333,16,0)&amp;"",IF($C38="N/A",VLOOKUP($A38,Questions!$A$2:$X$333,18,0)&amp;"",VLOOKUP($A38,Questions!$A$2:$X$333,15,0)&amp;"")))</f>
        <v>Summarize your implemented system configuration management precess.</v>
      </c>
      <c r="F38" s="208" t="str">
        <f>VLOOKUP($A38,'Institution Evaluation'!$A$56:$F$346,6,0)&amp;""</f>
        <v/>
      </c>
      <c r="I38" s="42"/>
      <c r="J38" s="42"/>
    </row>
    <row r="39" spans="1:10" s="1" customFormat="1" ht="38.25" customHeight="1">
      <c r="A39" s="25" t="s">
        <v>289</v>
      </c>
      <c r="B39" s="24" t="str">
        <f>VLOOKUP($A39,Questions!$A$2:$X$333,2,0)</f>
        <v>Do you have a documented change management process?</v>
      </c>
      <c r="C39" s="27" t="s">
        <v>1652</v>
      </c>
      <c r="D39" s="364" t="s">
        <v>1798</v>
      </c>
      <c r="E39" s="174" t="str">
        <f>IF($C39="Yes",VLOOKUP($A39,Questions!$A$2:$X$333,17,0)&amp;"",IF($C39="No",VLOOKUP($A39,Questions!$A$2:$X$333,16,0)&amp;"",VLOOKUP($A39,Questions!$A$2:$X$333,15,0)&amp;""))</f>
        <v>Summarize your current change management process.</v>
      </c>
      <c r="F39" s="208" t="str">
        <f>VLOOKUP($A39,'Institution Evaluation'!$A$56:$F$346,6,0)&amp;""</f>
        <v/>
      </c>
      <c r="I39" s="42"/>
      <c r="J39" s="42"/>
    </row>
    <row r="40" spans="1:10" s="1" customFormat="1" ht="53.25" customHeight="1">
      <c r="A40" s="25" t="s">
        <v>293</v>
      </c>
      <c r="B40" s="24" t="str">
        <f>VLOOKUP($A40,Questions!$A$2:$X$333,2,0)</f>
        <v>Does your change management process minimally include authorization, impact analysis, testing, and validation before moving changes to production?</v>
      </c>
      <c r="C40" s="27" t="s">
        <v>1652</v>
      </c>
      <c r="D40" s="364" t="s">
        <v>1667</v>
      </c>
      <c r="E40" s="174" t="str">
        <f>IF($C40="Yes",VLOOKUP($A40,Questions!$A$2:$X$333,17,0)&amp;"",IF($C40="No",VLOOKUP($A40,Questions!$A$2:$X$333,16,0)&amp;"",VLOOKUP($A40,Questions!$A$2:$X$333,15,0)&amp;""))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40" s="208" t="str">
        <f>VLOOKUP($A40,'Institution Evaluation'!$A$56:$F$346,6,0)&amp;""</f>
        <v/>
      </c>
      <c r="I40" s="42"/>
      <c r="J40" s="42"/>
    </row>
    <row r="41" spans="1:10" s="1" customFormat="1" ht="54.75" customHeight="1">
      <c r="A41" s="25" t="s">
        <v>297</v>
      </c>
      <c r="B41" s="24" t="str">
        <f>VLOOKUP($A41,Questions!$A$2:$X$333,2,0)</f>
        <v>Does your change management process verify that all required third-party libraries and dependencies are still supported with each major change?</v>
      </c>
      <c r="C41" s="27" t="s">
        <v>1652</v>
      </c>
      <c r="D41" s="364" t="s">
        <v>1799</v>
      </c>
      <c r="E41" s="174" t="str">
        <f>IF($C41="Yes",VLOOKUP($A41,Questions!$A$2:$X$333,17,0)&amp;"",IF($C41="No",VLOOKUP($A41,Questions!$A$2:$X$333,16,0)&amp;"",VLOOKUP($A41,Questions!$A$2:$X$333,15,0)&amp;""))</f>
        <v>Please describe your program to track these dependancies.</v>
      </c>
      <c r="F41" s="208" t="str">
        <f>VLOOKUP($A41,'Institution Evaluation'!$A$56:$F$346,6,0)&amp;""</f>
        <v/>
      </c>
      <c r="I41" s="42"/>
      <c r="J41" s="42"/>
    </row>
    <row r="42" spans="1:10" s="1" customFormat="1" ht="53.25" customHeight="1">
      <c r="A42" s="25" t="s">
        <v>301</v>
      </c>
      <c r="B42" s="24" t="str">
        <f>VLOOKUP($A42,Questions!$A$2:$X$333,2,0)</f>
        <v>Do you have policy and procedure, currently implemented, managing how critical patches are applied to all systems and applications?</v>
      </c>
      <c r="C42" s="27" t="s">
        <v>1652</v>
      </c>
      <c r="D42" s="364" t="s">
        <v>1764</v>
      </c>
      <c r="E42" s="174" t="str">
        <f>IF($C42="Yes",VLOOKUP($A42,Questions!$A$2:$X$333,17,0)&amp;"",IF($C42="No",VLOOKUP($A42,Questions!$A$2:$X$333,16,0)&amp;"",VLOOKUP($A42,Questions!$A$2:$X$333,15,0)&amp;""))</f>
        <v>Summarize the policy and procedure(s) managing how critical patches are applied to systems and applications.</v>
      </c>
      <c r="F42" s="208" t="str">
        <f>VLOOKUP($A42,'Institution Evaluation'!$A$56:$F$346,6,0)&amp;""</f>
        <v/>
      </c>
      <c r="I42" s="42"/>
      <c r="J42" s="42"/>
    </row>
    <row r="43" spans="1:10" s="1" customFormat="1" ht="38.25" customHeight="1">
      <c r="A43" s="25" t="s">
        <v>305</v>
      </c>
      <c r="B43" s="24" t="str">
        <f>VLOOKUP($A43,Questions!$A$2:$X$333,2,0)</f>
        <v>Have you implemented policies and procedures that guide how security risks are mitigated until patches can be applied?</v>
      </c>
      <c r="C43" s="27" t="s">
        <v>1652</v>
      </c>
      <c r="D43" s="364" t="s">
        <v>1764</v>
      </c>
      <c r="E43" s="174" t="str">
        <f>IF($C43="Yes",VLOOKUP($A43,Questions!$A$2:$X$333,17,0)&amp;"",IF($C43="No",VLOOKUP($A43,Questions!$A$2:$X$333,16,0)&amp;"",VLOOKUP($A43,Questions!$A$2:$X$333,15,0)&amp;""))</f>
        <v>Summarize the policy and procedure(s) guiding risk mitigation practices before critical patches can be applied.</v>
      </c>
      <c r="F43" s="208" t="str">
        <f>VLOOKUP($A43,'Institution Evaluation'!$A$56:$F$346,6,0)&amp;""</f>
        <v/>
      </c>
      <c r="I43" s="42"/>
      <c r="J43" s="42"/>
    </row>
    <row r="44" spans="1:10" s="1" customFormat="1" ht="52.5" customHeight="1">
      <c r="A44" s="25" t="s">
        <v>308</v>
      </c>
      <c r="B44" s="24" t="str">
        <f>VLOOKUP($A44,Questions!$A$2:$X$333,2,0)</f>
        <v>Do clients have the option to not participate in or postpone an upgrade to a new release?</v>
      </c>
      <c r="C44" s="27" t="s">
        <v>1652</v>
      </c>
      <c r="D44" s="340" t="s">
        <v>1668</v>
      </c>
      <c r="E44" s="174" t="str">
        <f>IF($C44="Yes",VLOOKUP($A44,Questions!$A$2:$X$333,17,0)&amp;"",IF($C44="No",VLOOKUP($A44,Questions!$A$2:$X$333,16,0)&amp;"",VLOOKUP($A44,Questions!$A$2:$X$333,15,0)&amp;""))</f>
        <v>Provide reference the the process/procedure to manage releases.</v>
      </c>
      <c r="F44" s="208" t="str">
        <f>VLOOKUP($A44,'Institution Evaluation'!$A$56:$F$346,6,0)&amp;""</f>
        <v/>
      </c>
      <c r="I44" s="42"/>
      <c r="J44" s="42"/>
    </row>
    <row r="45" spans="1:10" s="1" customFormat="1" ht="64.5" customHeight="1">
      <c r="A45" s="25" t="s">
        <v>311</v>
      </c>
      <c r="B45" s="24" t="str">
        <f>VLOOKUP($A45,Questions!$A$2:$X$333,2,0)</f>
        <v>Do you have a fully implemented solution support strategy that defines how many concurrent versions you support?</v>
      </c>
      <c r="C45" s="27" t="s">
        <v>1652</v>
      </c>
      <c r="D45" s="364" t="s">
        <v>1669</v>
      </c>
      <c r="E45" s="174" t="str">
        <f>IF($C45="Yes",VLOOKUP($A45,Questions!$A$2:$X$333,17,0)&amp;"",IF($C45="No",VLOOKUP($A45,Questions!$A$2:$X$333,16,0)&amp;"",VLOOKUP($A45,Questions!$A$2:$X$333,15,0)&amp;""))</f>
        <v>Describe or provide a reference to your solution support strategy in regard to maintaining software currency (i.e., how many concurrent versions are you willing to run and support?).</v>
      </c>
      <c r="F45" s="208" t="str">
        <f>VLOOKUP($A45,'Institution Evaluation'!$A$56:$F$346,6,0)&amp;""</f>
        <v/>
      </c>
      <c r="I45" s="42"/>
      <c r="J45" s="42"/>
    </row>
    <row r="46" spans="1:10" s="1" customFormat="1" ht="38.25" customHeight="1">
      <c r="A46" s="25" t="s">
        <v>313</v>
      </c>
      <c r="B46" s="24" t="str">
        <f>VLOOKUP($A46,Questions!$A$2:$X$333,2,0)</f>
        <v>Do you have a release schedule for product updates?</v>
      </c>
      <c r="C46" s="27" t="s">
        <v>40</v>
      </c>
      <c r="D46" s="340" t="s">
        <v>1670</v>
      </c>
      <c r="E46" s="174" t="str">
        <f>IF($C46="Yes",VLOOKUP($A46,Questions!$A$2:$X$333,17,0)&amp;"",IF($C46="No",VLOOKUP($A46,Questions!$A$2:$X$333,16,0)&amp;"",VLOOKUP($A46,Questions!$A$2:$X$333,15,0)&amp;""))</f>
        <v>Provide a reference to this solution's release schedule.</v>
      </c>
      <c r="F46" s="208" t="str">
        <f>VLOOKUP($A46,'Institution Evaluation'!$A$56:$F$346,6,0)&amp;""</f>
        <v/>
      </c>
      <c r="I46" s="42"/>
      <c r="J46" s="42"/>
    </row>
    <row r="47" spans="1:10" s="1" customFormat="1" ht="54" customHeight="1">
      <c r="A47" s="25" t="s">
        <v>317</v>
      </c>
      <c r="B47" s="24" t="str">
        <f>VLOOKUP($A47,Questions!$A$2:$X$333,2,0)</f>
        <v>Do you have a technology roadmap, for at least the next two years, for enhancements and bug fixes for the solution being assessed?</v>
      </c>
      <c r="C47" s="27" t="s">
        <v>1652</v>
      </c>
      <c r="D47" s="369" t="s">
        <v>1671</v>
      </c>
      <c r="E47" s="174" t="str">
        <f>IF($C47="Yes",VLOOKUP($A47,Questions!$A$2:$X$333,17,0)&amp;"",IF($C47="No",VLOOKUP($A47,Questions!$A$2:$X$333,16,0)&amp;"",VLOOKUP($A47,Questions!$A$2:$X$333,15,0)&amp;""))</f>
        <v>Provide a reference to your technology roadmap.</v>
      </c>
      <c r="F47" s="208" t="str">
        <f>VLOOKUP($A47,'Institution Evaluation'!$A$56:$F$346,6,0)&amp;""</f>
        <v/>
      </c>
      <c r="I47" s="42"/>
      <c r="J47" s="42"/>
    </row>
    <row r="48" spans="1:10" s="1" customFormat="1" ht="38.25" customHeight="1">
      <c r="A48" s="25" t="s">
        <v>320</v>
      </c>
      <c r="B48" s="24" t="str">
        <f>VLOOKUP($A48,Questions!$A$2:$X$333,2,0)</f>
        <v>Can solution updates be completed without institutional involvement (i.e., technically or organizationally)?</v>
      </c>
      <c r="C48" s="27" t="s">
        <v>1652</v>
      </c>
      <c r="D48"/>
      <c r="E48" s="174" t="str">
        <f>IF($C48="Yes",VLOOKUP($A48,Questions!$A$2:$X$333,17,0)&amp;"",IF($C48="No",VLOOKUP($A48,Questions!$A$2:$X$333,16,0)&amp;"",VLOOKUP($A48,Questions!$A$2:$X$333,15,0)&amp;""))</f>
        <v/>
      </c>
      <c r="F48" s="208" t="str">
        <f>VLOOKUP($A48,'Institution Evaluation'!$A$56:$F$346,6,0)&amp;""</f>
        <v/>
      </c>
      <c r="I48" s="42"/>
      <c r="J48" s="42"/>
    </row>
    <row r="49" spans="1:10" s="1" customFormat="1" ht="38.25" customHeight="1">
      <c r="A49" s="25" t="s">
        <v>325</v>
      </c>
      <c r="B49" s="24" t="str">
        <f>VLOOKUP($A49,Questions!$A$2:$X$333,2,0)</f>
        <v>Are upgrades or system changes installed during off-peak hours or in a manner that does not impact the customer?</v>
      </c>
      <c r="C49" s="27" t="s">
        <v>1652</v>
      </c>
      <c r="D49" s="369" t="s">
        <v>1672</v>
      </c>
      <c r="E49" s="174" t="str">
        <f>IF($C49="Yes",VLOOKUP($A49,Questions!$A$2:$X$333,17,0)&amp;"",IF($C49="No",VLOOKUP($A49,Questions!$A$2:$X$333,16,0)&amp;"",VLOOKUP($A49,Questions!$A$2:$X$333,15,0)&amp;""))</f>
        <v>Define current off-peak hours, including time zones as necessary.</v>
      </c>
      <c r="F49" s="208" t="str">
        <f>VLOOKUP($A49,'Institution Evaluation'!$A$56:$F$346,6,0)&amp;""</f>
        <v/>
      </c>
      <c r="I49" s="42"/>
      <c r="J49" s="42"/>
    </row>
    <row r="50" spans="1:10" s="1" customFormat="1" ht="38.25" customHeight="1">
      <c r="A50" s="25" t="s">
        <v>329</v>
      </c>
      <c r="B50" s="24" t="str">
        <f>VLOOKUP($A50,Questions!$A$2:$X$333,2,0)</f>
        <v>Do procedures exist to provide that emergency changes are documented and authorized (including after-the-fact approval)?</v>
      </c>
      <c r="C50" s="27" t="s">
        <v>1652</v>
      </c>
      <c r="D50" s="364" t="s">
        <v>1673</v>
      </c>
      <c r="E50" s="174" t="str">
        <f>IF($C50="Yes",VLOOKUP($A50,Questions!$A$2:$X$333,17,0)&amp;"",IF($C50="No",VLOOKUP($A50,Questions!$A$2:$X$333,16,0)&amp;"",VLOOKUP($A50,Questions!$A$2:$X$333,15,0)&amp;""))</f>
        <v>Summarize implemented procedures ensuring that emergency changes are documented and authorized.</v>
      </c>
      <c r="F50" s="208" t="str">
        <f>VLOOKUP($A50,'Institution Evaluation'!$A$56:$F$346,6,0)&amp;""</f>
        <v/>
      </c>
      <c r="I50" s="42"/>
      <c r="J50" s="42"/>
    </row>
    <row r="51" spans="1:10" s="1" customFormat="1" ht="48" customHeight="1" thickBot="1">
      <c r="A51" s="25" t="s">
        <v>332</v>
      </c>
      <c r="B51" s="24" t="str">
        <f>VLOOKUP($A51,Questions!$A$2:$X$333,2,0)</f>
        <v>Do you have a systems management and configuration strategy that encompasses servers, appliances, cloud services, applications, and mobile devices (company and employee owned)?</v>
      </c>
      <c r="C51" s="27" t="s">
        <v>1652</v>
      </c>
      <c r="D51" s="1" t="s">
        <v>1676</v>
      </c>
      <c r="E51" s="174" t="str">
        <f>IF($C51="Yes",VLOOKUP($A51,Questions!$A$2:$X$333,17,0)&amp;"",IF($C51="No",VLOOKUP($A51,Questions!$A$2:$X$333,16,0)&amp;"",VLOOKUP($A51,Questions!$A$2:$X$333,15,0)&amp;""))</f>
        <v>Summarize your systems management and configuration strategy.</v>
      </c>
      <c r="F51" s="208" t="str">
        <f>VLOOKUP($A51,'Institution Evaluation'!$A$56:$F$346,6,0)&amp;""</f>
        <v/>
      </c>
      <c r="G51" s="255" t="s">
        <v>1531</v>
      </c>
      <c r="I51" s="42"/>
      <c r="J51" s="42"/>
    </row>
    <row r="52" spans="1:10" s="1" customFormat="1" ht="37.25" customHeight="1" thickBot="1">
      <c r="A52" s="70" t="str">
        <f>VLOOKUP(LEFT($A53,4),'Auto Responses'!$N$4:$O$38,2,0)&amp;""</f>
        <v xml:space="preserve"> Policies, Processes, and Procedures</v>
      </c>
      <c r="B52" s="29"/>
      <c r="C52" s="19" t="s">
        <v>1583</v>
      </c>
      <c r="D52"/>
      <c r="E52" s="38" t="s">
        <v>904</v>
      </c>
      <c r="F52" s="194" t="s">
        <v>905</v>
      </c>
      <c r="I52" s="42"/>
      <c r="J52" s="42"/>
    </row>
    <row r="53" spans="1:10" s="1" customFormat="1" ht="38.25" customHeight="1">
      <c r="A53" s="25" t="s">
        <v>517</v>
      </c>
      <c r="B53" s="24" t="str">
        <f>VLOOKUP($A53,Questions!$A$2:$X$333,2,0)</f>
        <v>Do you have a documented patch management process?*</v>
      </c>
      <c r="C53" s="27" t="s">
        <v>1652</v>
      </c>
      <c r="D53" s="367" t="s">
        <v>1760</v>
      </c>
      <c r="E53" s="174" t="str">
        <f>IF($C53="Yes",VLOOKUP($A53,Questions!$A$2:$X$333,17,0)&amp;"",IF($C53="No",VLOOKUP($A53,Questions!$A$2:$X$333,16,0)&amp;"",VLOOKUP($A53,Questions!$A$2:$X$333,15,0)&amp;""))</f>
        <v/>
      </c>
      <c r="F53" s="208" t="str">
        <f>VLOOKUP($A53,'Institution Evaluation'!$A$56:$F$346,6,0)&amp;""</f>
        <v/>
      </c>
      <c r="I53" s="42"/>
      <c r="J53" s="42"/>
    </row>
    <row r="54" spans="1:10" s="1" customFormat="1" ht="56.25" customHeight="1">
      <c r="A54" s="25" t="s">
        <v>518</v>
      </c>
      <c r="B54" s="24" t="str">
        <f>VLOOKUP($A54,Questions!$A$2:$X$333,2,0)</f>
        <v>Can your organization comply with institutional policies on privacy and data protection with regard to users of institutional systems, if required?*</v>
      </c>
      <c r="C54" s="27" t="s">
        <v>1652</v>
      </c>
      <c r="D54" s="30" t="s">
        <v>1760</v>
      </c>
      <c r="E54" s="174" t="str">
        <f>IF($C54="Yes",VLOOKUP($A54,Questions!$A$2:$X$333,17,0)&amp;"",IF($C54="No",VLOOKUP($A54,Questions!$A$2:$X$333,16,0)&amp;"",VLOOKUP($A54,Questions!$A$2:$X$333,15,0)&amp;""))</f>
        <v>State that you have reviewed the institution's IT policies with regards to user privacy and data protection.</v>
      </c>
      <c r="F54" s="208" t="str">
        <f>VLOOKUP($A54,'Institution Evaluation'!$A$56:$F$346,6,0)&amp;""</f>
        <v/>
      </c>
      <c r="I54" s="42"/>
      <c r="J54" s="42"/>
    </row>
    <row r="55" spans="1:10" s="1" customFormat="1" ht="38.25" customHeight="1">
      <c r="A55" s="25" t="s">
        <v>520</v>
      </c>
      <c r="B55" s="24" t="str">
        <f>VLOOKUP($A55,Questions!$A$2:$X$333,2,0)</f>
        <v>Is your company subject to the institution's geographic region's laws and regulations?*</v>
      </c>
      <c r="C55" s="27" t="s">
        <v>1652</v>
      </c>
      <c r="D55" s="364" t="s">
        <v>1778</v>
      </c>
      <c r="E55" s="174" t="str">
        <f>IF($C55="Yes",VLOOKUP($A55,Questions!$A$2:$X$333,17,0)&amp;"",IF($C55="No",VLOOKUP($A55,Questions!$A$2:$X$333,16,0)&amp;"",VLOOKUP($A55,Questions!$A$2:$X$333,15,0)&amp;""))</f>
        <v/>
      </c>
      <c r="F55" s="208" t="str">
        <f>VLOOKUP($A55,'Institution Evaluation'!$A$56:$F$346,6,0)&amp;""</f>
        <v/>
      </c>
      <c r="I55" s="42"/>
      <c r="J55" s="42"/>
    </row>
    <row r="56" spans="1:10" s="1" customFormat="1" ht="38.25" customHeight="1">
      <c r="A56" s="25" t="s">
        <v>524</v>
      </c>
      <c r="B56" s="24" t="str">
        <f>VLOOKUP($A56,Questions!$A$2:$X$333,2,0)</f>
        <v>Can you accommodate encryption requirements using open standards?</v>
      </c>
      <c r="C56" s="27" t="s">
        <v>1652</v>
      </c>
      <c r="D56" s="364" t="s">
        <v>1765</v>
      </c>
      <c r="E56" s="174" t="str">
        <f>IF($C56="Yes",VLOOKUP($A56,Questions!$A$2:$X$333,17,0)&amp;"",IF($C56="No",VLOOKUP($A56,Questions!$A$2:$X$333,16,0)&amp;"",VLOOKUP($A56,Questions!$A$2:$X$333,15,0)&amp;""))</f>
        <v/>
      </c>
      <c r="F56" s="208" t="str">
        <f>VLOOKUP($A56,'Institution Evaluation'!$A$56:$F$346,6,0)&amp;""</f>
        <v/>
      </c>
      <c r="I56" s="42"/>
      <c r="J56" s="42"/>
    </row>
    <row r="57" spans="1:10" s="1" customFormat="1" ht="36" customHeight="1">
      <c r="A57" s="25" t="s">
        <v>528</v>
      </c>
      <c r="B57" s="24" t="str">
        <f>VLOOKUP($A57,Questions!$A$2:$X$333,2,0)</f>
        <v>Do you have a documented systems development life cycle (SDLC)?</v>
      </c>
      <c r="C57" s="27" t="s">
        <v>1652</v>
      </c>
      <c r="D57" s="364" t="s">
        <v>1697</v>
      </c>
      <c r="E57" s="174" t="str">
        <f>IF($C57="Yes",VLOOKUP($A57,Questions!$A$2:$X$333,17,0)&amp;"",IF($C57="No",VLOOKUP($A57,Questions!$A$2:$X$333,16,0)&amp;"",VLOOKUP($A57,Questions!$A$2:$X$333,15,0)&amp;""))</f>
        <v>Briefly summarize your SDLC or provide a link or attachment.</v>
      </c>
      <c r="F57" s="208" t="str">
        <f>VLOOKUP($A57,'Institution Evaluation'!$A$56:$F$346,6,0)&amp;""</f>
        <v/>
      </c>
      <c r="I57" s="42"/>
      <c r="J57" s="42"/>
    </row>
    <row r="58" spans="1:10" s="1" customFormat="1" ht="60">
      <c r="A58" s="25" t="s">
        <v>532</v>
      </c>
      <c r="B58" s="24" t="str">
        <f>VLOOKUP($A58,Questions!$A$2:$X$333,2,0)</f>
        <v>Do you perform background screenings or multi-state background checks on all employees prior to their first day of work?</v>
      </c>
      <c r="C58" s="27" t="s">
        <v>1654</v>
      </c>
      <c r="D58" s="367" t="s">
        <v>1802</v>
      </c>
      <c r="E58" s="174" t="str">
        <f>IF($C58="Yes",VLOOKUP($A58,Questions!$A$2:$X$333,17,0)&amp;"",IF($C58="No",VLOOKUP($A58,Questions!$A$2:$X$333,16,0)&amp;"",VLOOKUP($A58,Questions!$A$2:$X$333,15,0)&amp;""))</f>
        <v>State plans to implement background check elements into your hiring process.</v>
      </c>
      <c r="F58" s="208" t="str">
        <f>VLOOKUP($A58,'Institution Evaluation'!$A$56:$F$346,6,0)&amp;""</f>
        <v/>
      </c>
      <c r="I58" s="42"/>
      <c r="J58" s="42"/>
    </row>
    <row r="59" spans="1:10" s="1" customFormat="1" ht="47.25" customHeight="1">
      <c r="A59" s="25" t="s">
        <v>535</v>
      </c>
      <c r="B59" s="24" t="str">
        <f>VLOOKUP($A59,Questions!$A$2:$X$333,2,0)</f>
        <v>Do you require new employees to fill out agreements and review policies?</v>
      </c>
      <c r="C59" s="27" t="s">
        <v>1652</v>
      </c>
      <c r="D59" s="364" t="s">
        <v>1803</v>
      </c>
      <c r="E59" s="174" t="str">
        <f>IF($C59="Yes",VLOOKUP($A59,Questions!$A$2:$X$333,17,0)&amp;"",IF($C59="No",VLOOKUP($A59,Questions!$A$2:$X$333,16,0)&amp;"",VLOOKUP($A59,Questions!$A$2:$X$333,15,0)&amp;""))</f>
        <v>Summarize the required agreements and reviewed policies.</v>
      </c>
      <c r="F59" s="208" t="str">
        <f>VLOOKUP($A59,'Institution Evaluation'!$A$56:$F$346,6,0)&amp;""</f>
        <v/>
      </c>
      <c r="I59" s="42"/>
      <c r="J59" s="42"/>
    </row>
    <row r="60" spans="1:10" s="1" customFormat="1" ht="46.5" customHeight="1">
      <c r="A60" s="25" t="s">
        <v>537</v>
      </c>
      <c r="B60" s="24" t="str">
        <f>VLOOKUP($A60,Questions!$A$2:$X$333,2,0)</f>
        <v>Do you have a documented information security policy?</v>
      </c>
      <c r="C60" s="27" t="s">
        <v>1652</v>
      </c>
      <c r="D60" s="371" t="s">
        <v>1675</v>
      </c>
      <c r="E60" s="174" t="str">
        <f>IF($C60="Yes",VLOOKUP($A60,Questions!$A$2:$X$333,17,0)&amp;"",IF($C60="No",VLOOKUP($A60,Questions!$A$2:$X$333,16,0)&amp;"",VLOOKUP($A60,Questions!$A$2:$X$333,15,0)&amp;""))</f>
        <v>Provide a reference to your information security policy or submit documentation with this fully populated HECVAT.</v>
      </c>
      <c r="F60" s="208" t="str">
        <f>VLOOKUP($A60,'Institution Evaluation'!$A$56:$F$346,6,0)&amp;""</f>
        <v/>
      </c>
      <c r="I60" s="42"/>
      <c r="J60" s="42"/>
    </row>
    <row r="61" spans="1:10" s="1" customFormat="1" ht="48" customHeight="1">
      <c r="A61" s="25" t="s">
        <v>541</v>
      </c>
      <c r="B61" s="24" t="str">
        <f>VLOOKUP($A61,Questions!$A$2:$X$333,2,0)</f>
        <v>Are information security principles designed into the product lifecycle?</v>
      </c>
      <c r="C61" s="27" t="s">
        <v>1652</v>
      </c>
      <c r="D61" s="364" t="s">
        <v>1698</v>
      </c>
      <c r="E61" s="174" t="str">
        <f>IF($C61="Yes",VLOOKUP($A61,Questions!$A$2:$X$333,17,0)&amp;"",IF($C61="No",VLOOKUP($A61,Questions!$A$2:$X$333,16,0)&amp;"",VLOOKUP($A61,Questions!$A$2:$X$333,15,0)&amp;""))</f>
        <v>Summarize the information security principles designed into the product lifecycle.</v>
      </c>
      <c r="F61" s="208" t="str">
        <f>VLOOKUP($A61,'Institution Evaluation'!$A$56:$F$346,6,0)&amp;""</f>
        <v/>
      </c>
      <c r="I61" s="42"/>
      <c r="J61" s="42"/>
    </row>
    <row r="62" spans="1:10" s="1" customFormat="1" ht="28.5" customHeight="1">
      <c r="A62" s="25" t="s">
        <v>546</v>
      </c>
      <c r="B62" s="24" t="str">
        <f>VLOOKUP($A62,Questions!$A$2:$X$333,2,0)</f>
        <v>Will you comply with applicable breach notification laws?</v>
      </c>
      <c r="C62" s="27" t="s">
        <v>1652</v>
      </c>
      <c r="D62" s="371" t="s">
        <v>1800</v>
      </c>
      <c r="E62" s="174" t="str">
        <f>IF($C62="Yes",VLOOKUP($A62,Questions!$A$2:$X$333,17,0)&amp;"",IF($C62="No",VLOOKUP($A62,Questions!$A$2:$X$333,16,0)&amp;"",VLOOKUP($A62,Questions!$A$2:$X$333,15,0)&amp;""))</f>
        <v>State how quickly the institution will be notified of a data breach or security incident.</v>
      </c>
      <c r="F62" s="208" t="str">
        <f>VLOOKUP($A62,'Institution Evaluation'!$A$56:$F$346,6,0)&amp;""</f>
        <v/>
      </c>
      <c r="I62" s="42"/>
      <c r="J62" s="42"/>
    </row>
    <row r="63" spans="1:10" s="1" customFormat="1" ht="28.5" customHeight="1">
      <c r="A63" s="25" t="s">
        <v>550</v>
      </c>
      <c r="B63" s="24" t="str">
        <f>VLOOKUP($A63,Questions!$A$2:$X$333,2,0)</f>
        <v>Do you have an information security awareness program?</v>
      </c>
      <c r="C63" s="27" t="s">
        <v>1652</v>
      </c>
      <c r="D63" s="364" t="s">
        <v>1678</v>
      </c>
      <c r="E63" s="174" t="str">
        <f>IF($C63="Yes",VLOOKUP($A63,Questions!$A$2:$X$333,17,0)&amp;"",IF($C63="No",VLOOKUP($A63,Questions!$A$2:$X$333,16,0)&amp;"",VLOOKUP($A63,Questions!$A$2:$X$333,15,0)&amp;""))</f>
        <v>Summarize your information security awareness program.</v>
      </c>
      <c r="F63" s="208" t="str">
        <f>VLOOKUP($A63,'Institution Evaluation'!$A$56:$F$346,6,0)&amp;""</f>
        <v/>
      </c>
      <c r="I63" s="42"/>
      <c r="J63" s="42"/>
    </row>
    <row r="64" spans="1:10" s="1" customFormat="1" ht="28.5" customHeight="1">
      <c r="A64" s="25" t="s">
        <v>555</v>
      </c>
      <c r="B64" s="24" t="str">
        <f>VLOOKUP($A64,Questions!$A$2:$X$333,2,0)</f>
        <v>Is security awareness training mandatory for all employees?</v>
      </c>
      <c r="C64" s="27" t="s">
        <v>1652</v>
      </c>
      <c r="D64" s="364" t="s">
        <v>1801</v>
      </c>
      <c r="E64" s="174" t="str">
        <f>IF($C64="Yes",VLOOKUP($A64,Questions!$A$2:$X$333,17,0)&amp;"",IF($C64="No",VLOOKUP($A64,Questions!$A$2:$X$333,16,0)&amp;"",VLOOKUP($A64,Questions!$A$2:$X$333,15,0)&amp;""))</f>
        <v>Summarize your security awareness training content and state how frequently employees are required to undergo security awareness training.</v>
      </c>
      <c r="F64" s="208" t="str">
        <f>VLOOKUP($A64,'Institution Evaluation'!$A$56:$F$346,6,0)&amp;""</f>
        <v/>
      </c>
      <c r="I64" s="42"/>
      <c r="J64" s="42"/>
    </row>
    <row r="65" spans="1:10" s="1" customFormat="1" ht="54" customHeight="1">
      <c r="A65" s="25" t="s">
        <v>559</v>
      </c>
      <c r="B65" s="24" t="str">
        <f>VLOOKUP($A65,Questions!$A$2:$X$333,2,0)</f>
        <v>Do you have process and procedure(s) documented, and currently followed, that require a review and update of the access list(s) for privileged accounts?</v>
      </c>
      <c r="C65" s="27" t="s">
        <v>1652</v>
      </c>
      <c r="D65" s="364" t="s">
        <v>1779</v>
      </c>
      <c r="E65" s="174" t="str">
        <f>IF($C65="Yes",VLOOKUP($A65,Questions!$A$2:$X$333,17,0)&amp;"",IF($C65="No",VLOOKUP($A65,Questions!$A$2:$X$333,16,0)&amp;"",VLOOKUP($A65,Questions!$A$2:$X$333,15,0)&amp;""))</f>
        <v>Provide a brief summary and the implement review interval.</v>
      </c>
      <c r="F65" s="208" t="str">
        <f>VLOOKUP($A65,'Institution Evaluation'!$A$56:$F$346,6,0)&amp;""</f>
        <v/>
      </c>
      <c r="I65" s="42"/>
      <c r="J65" s="42"/>
    </row>
    <row r="66" spans="1:10" s="1" customFormat="1" ht="34.5" customHeight="1">
      <c r="A66" s="25" t="s">
        <v>563</v>
      </c>
      <c r="B66" s="24" t="str">
        <f>VLOOKUP($A66,Questions!$A$2:$X$333,2,0)</f>
        <v>Do you have documented, and currently implemented, internal audit processes and procedures?</v>
      </c>
      <c r="C66" s="27" t="s">
        <v>1652</v>
      </c>
      <c r="D66" s="364" t="s">
        <v>1766</v>
      </c>
      <c r="E66" s="174" t="str">
        <f>IF($C66="Yes",VLOOKUP($A66,Questions!$A$2:$X$333,17,0)&amp;"",IF($C66="No",VLOOKUP($A66,Questions!$A$2:$X$333,16,0)&amp;"",VLOOKUP($A66,Questions!$A$2:$X$333,15,0)&amp;""))</f>
        <v>Summarize your internal audit processes and procedures.</v>
      </c>
      <c r="F66" s="208" t="str">
        <f>VLOOKUP($A66,'Institution Evaluation'!$A$56:$F$346,6,0)&amp;""</f>
        <v/>
      </c>
      <c r="I66" s="42"/>
      <c r="J66" s="42"/>
    </row>
    <row r="67" spans="1:10" s="1" customFormat="1" ht="39" customHeight="1">
      <c r="A67" s="25" t="s">
        <v>568</v>
      </c>
      <c r="B67" s="24" t="str">
        <f>VLOOKUP($A67,Questions!$A$2:$X$333,2,0)</f>
        <v>Does your organization have physical security controls and policies in place?</v>
      </c>
      <c r="C67" s="27" t="s">
        <v>1652</v>
      </c>
      <c r="D67" s="30" t="s">
        <v>1699</v>
      </c>
      <c r="E67" s="174" t="str">
        <f>IF($C67="Yes",VLOOKUP($A67,Questions!$A$2:$X$333,17,0)&amp;"",IF($C67="No",VLOOKUP($A67,Questions!$A$2:$X$333,16,0)&amp;"",IF($C67="N/A",VLOOKUP($A67,Questions!$A$2:$X$333,18,0)&amp;"",VLOOKUP($A67,Questions!$A$2:$X$333,15,0)&amp;"")))</f>
        <v>Provide a copy of your physical security controls and policies along with this document (link or attached).</v>
      </c>
      <c r="F67" s="208" t="str">
        <f>VLOOKUP($A67,'Institution Evaluation'!$A$56:$F$346,6,0)&amp;""</f>
        <v/>
      </c>
      <c r="G67" s="255" t="s">
        <v>1531</v>
      </c>
      <c r="H67" s="42"/>
    </row>
    <row r="68" spans="1:10" s="178" customFormat="1" ht="39" customHeight="1">
      <c r="A68" s="285" t="s">
        <v>1593</v>
      </c>
      <c r="B68" s="271"/>
      <c r="C68" s="272"/>
      <c r="D68" s="371"/>
      <c r="E68" s="274"/>
      <c r="F68" s="275"/>
      <c r="G68" s="276"/>
      <c r="H68" s="179"/>
    </row>
    <row r="69" spans="1:10" s="1" customFormat="1" ht="15" customHeight="1">
      <c r="A69" s="284"/>
      <c r="C69" s="14"/>
      <c r="D69" s="15"/>
      <c r="E69" s="16"/>
      <c r="I69" s="42"/>
      <c r="J69" s="42"/>
    </row>
    <row r="70" spans="1:10" s="1" customFormat="1" ht="15" hidden="1" customHeight="1">
      <c r="A70"/>
      <c r="C70" s="14"/>
      <c r="D70" s="15"/>
      <c r="E70" s="16"/>
      <c r="I70" s="42"/>
      <c r="J70" s="42"/>
    </row>
    <row r="71" spans="1:10" ht="57" hidden="1" customHeight="1">
      <c r="A71" s="25" t="e">
        <f>#REF!</f>
        <v>#REF!</v>
      </c>
    </row>
    <row r="72" spans="1:10" ht="42.75" hidden="1" customHeight="1">
      <c r="A72" s="25" t="e">
        <f>#REF!</f>
        <v>#REF!</v>
      </c>
    </row>
    <row r="73" spans="1:10" ht="15" hidden="1" customHeight="1">
      <c r="A73" s="25" t="e">
        <f>#REF!</f>
        <v>#REF!</v>
      </c>
    </row>
    <row r="74" spans="1:10" ht="15" hidden="1" customHeight="1">
      <c r="A74" s="25" t="e">
        <f>#REF!</f>
        <v>#REF!</v>
      </c>
    </row>
    <row r="75" spans="1:10" ht="15" hidden="1" customHeight="1">
      <c r="A75" s="25" t="e">
        <f>#REF!</f>
        <v>#REF!</v>
      </c>
    </row>
    <row r="76" spans="1:10" ht="15" hidden="1" customHeight="1">
      <c r="A76" s="25" t="e">
        <f>#REF!</f>
        <v>#REF!</v>
      </c>
    </row>
    <row r="77" spans="1:10" ht="15" hidden="1" customHeight="1">
      <c r="A77" s="25" t="e">
        <f>#REF!</f>
        <v>#REF!</v>
      </c>
    </row>
    <row r="78" spans="1:10" ht="15" hidden="1" customHeight="1"/>
    <row r="79" spans="1:10" ht="15" hidden="1" customHeight="1"/>
    <row r="80" spans="1:1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sheetData>
  <phoneticPr fontId="32" type="noConversion"/>
  <dataValidations count="2">
    <dataValidation allowBlank="1" showInputMessage="1" showErrorMessage="1" promptTitle="Warning!" prompt="The HECVAT is built using a number of complex formulas. Editing this cell can break the functionality of the tool. " sqref="C2:F2 C29 A3:A68 C35:D35 C52 C5:F12 D3:F3 B2:B68 E21:F67 C21 D21:D23 D27:D29"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 ref="D27" r:id="rId2" xr:uid="{BF56493A-56DF-934C-8A22-7BD8B4DDAF9C}"/>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C39:C51 C22:C28 C30:C34 C36 C53:C66 C68</xm:sqref>
        </x14:dataValidation>
        <x14:dataValidation type="list" allowBlank="1" showInputMessage="1" showErrorMessage="1" xr:uid="{8A0D1ED3-A136-4F15-82D5-FDBC28F567F3}">
          <x14:formula1>
            <xm:f>'Auto Responses'!$J$3:$J$5</xm:f>
          </x14:formula1>
          <xm:sqref>C37:C38 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C3" sqref="C3"/>
    </sheetView>
  </sheetViews>
  <sheetFormatPr baseColWidth="10" defaultColWidth="0" defaultRowHeight="0" customHeight="1" zeroHeight="1"/>
  <cols>
    <col min="1" max="1" width="8.25" customWidth="1"/>
    <col min="2" max="2" width="55.125" style="1" customWidth="1"/>
    <col min="3" max="3" width="18.875" style="14" customWidth="1"/>
    <col min="4" max="4" width="55.75" style="15" customWidth="1"/>
    <col min="5" max="5" width="32" style="16" customWidth="1"/>
    <col min="6" max="6" width="30.75"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c r="A1" t="s">
        <v>1530</v>
      </c>
    </row>
    <row r="2" spans="1:10" ht="36" customHeight="1">
      <c r="A2" s="175" t="s">
        <v>1453</v>
      </c>
      <c r="B2" s="175"/>
      <c r="C2" s="176"/>
      <c r="D2" s="328"/>
      <c r="E2" s="177"/>
      <c r="F2" s="177" t="str">
        <f>'Auto Responses'!$A$36</f>
        <v>Version 4.1.0</v>
      </c>
      <c r="J2" s="1"/>
    </row>
    <row r="3" spans="1:10" s="1" customFormat="1" ht="29" customHeight="1">
      <c r="A3" s="44" t="s">
        <v>996</v>
      </c>
      <c r="B3" s="45"/>
      <c r="C3" s="73">
        <f>'START HERE'!$C$3</f>
        <v>46216</v>
      </c>
      <c r="D3" s="329"/>
      <c r="E3" s="43"/>
      <c r="F3" s="57"/>
      <c r="I3" s="42"/>
    </row>
    <row r="4" spans="1:10" s="1" customFormat="1" ht="36" customHeight="1">
      <c r="A4" s="17" t="s">
        <v>921</v>
      </c>
      <c r="B4" s="18"/>
      <c r="C4" s="19"/>
      <c r="D4" s="20"/>
      <c r="E4" s="21"/>
      <c r="F4" s="21"/>
      <c r="I4" s="42"/>
    </row>
    <row r="5" spans="1:10" s="1" customFormat="1" ht="19.5" customHeight="1">
      <c r="A5" s="49" t="str">
        <f>HLOOKUP($A$4,'Auto Responses'!$D$2:$D$8,2,0)&amp;""</f>
        <v>1. Complete the "Start Here" tab and review the "Required Questions" guidance to find the other sections are required for your product or service.</v>
      </c>
      <c r="B5" s="22"/>
      <c r="C5" s="74"/>
      <c r="D5" s="330"/>
      <c r="E5" s="22"/>
      <c r="F5" s="22"/>
      <c r="I5" s="42"/>
    </row>
    <row r="6" spans="1:10" s="1" customFormat="1" ht="19.5" customHeight="1">
      <c r="A6" s="49" t="str">
        <f>HLOOKUP($A$4,'Auto Responses'!$D$2:$D$8,3,0)&amp;""</f>
        <v>2. Complete the "Organization" tab and the applicable questions in each of the next 5 tabs (Product through Privacy) that apply, based on your answers to the "Required Questions."</v>
      </c>
      <c r="B6" s="22"/>
      <c r="C6" s="74"/>
      <c r="D6" s="330"/>
      <c r="E6" s="22"/>
      <c r="F6" s="22"/>
      <c r="I6" s="42"/>
    </row>
    <row r="7" spans="1:10" s="1" customFormat="1" ht="19.5" customHeight="1">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2"/>
      <c r="I7" s="42"/>
    </row>
    <row r="8" spans="1:10" s="1" customFormat="1" ht="19.5" customHeight="1">
      <c r="A8" s="49" t="str">
        <f>HLOOKUP($A$4,'Auto Responses'!$D$2:$D$8,5,0)&amp;""</f>
        <v>4. DO NOT complete any fields in the "Evaluation" sheets or the "Analyst Notes" column.</v>
      </c>
      <c r="B8" s="22"/>
      <c r="C8" s="74"/>
      <c r="D8" s="330"/>
      <c r="E8" s="22"/>
      <c r="F8" s="22"/>
      <c r="I8" s="42"/>
    </row>
    <row r="9" spans="1:10" s="1" customFormat="1" ht="19.5" customHeight="1">
      <c r="A9" s="49" t="str">
        <f>HLOOKUP($A$4,'Auto Responses'!$D$2:$D$8,6,0)&amp;""</f>
        <v>5. Return the completed file to institutions.</v>
      </c>
      <c r="B9" s="22"/>
      <c r="C9" s="74"/>
      <c r="D9" s="330"/>
      <c r="E9" s="22"/>
      <c r="F9" s="22"/>
      <c r="I9" s="42"/>
    </row>
    <row r="10" spans="1:10" s="1" customFormat="1" ht="19.5" customHeight="1">
      <c r="A10" s="265" t="str">
        <f>HLOOKUP($A$4,'Auto Responses'!$D$2:$D$8,7,0)&amp;""</f>
        <v>* Denotes critical questions. Critical questions are those deemed most important to institutions by higher education volunteers.</v>
      </c>
      <c r="B10" s="22"/>
      <c r="C10" s="74"/>
      <c r="D10" s="330"/>
      <c r="E10" s="22"/>
      <c r="F10" s="22"/>
      <c r="I10" s="42"/>
    </row>
    <row r="11" spans="1:10" s="1" customFormat="1" ht="19.5" customHeight="1">
      <c r="A11" s="264" t="str">
        <f>HLOOKUP($A$4,'Auto Responses'!$D$2:$D$9,8,0)&amp;""</f>
        <v>For full instructions, please visit educause.edu/HECVAT</v>
      </c>
      <c r="B11" s="22"/>
      <c r="C11" s="74"/>
      <c r="D11" s="330"/>
      <c r="E11" s="22"/>
      <c r="F11" s="22"/>
      <c r="I11" s="42"/>
    </row>
    <row r="12" spans="1:10" s="1" customFormat="1" ht="36" customHeight="1">
      <c r="A12" s="70" t="str">
        <f>VLOOKUP(LEFT($A13,4),'Auto Responses'!$N$4:$O$38,2,0)&amp;""</f>
        <v xml:space="preserve"> General Information</v>
      </c>
      <c r="B12" s="18"/>
      <c r="C12" s="19" t="s">
        <v>1583</v>
      </c>
      <c r="D12" s="331"/>
      <c r="E12" s="23"/>
      <c r="F12" s="23"/>
      <c r="I12" s="42"/>
      <c r="J12" s="42"/>
    </row>
    <row r="13" spans="1:10" s="1" customFormat="1" ht="22.25" customHeight="1">
      <c r="A13" s="25" t="s">
        <v>21</v>
      </c>
      <c r="B13" s="26" t="str">
        <f>VLOOKUP($A13,Questions!$A$2:$X$333,2,0)&amp;""</f>
        <v>Solution Provider Name</v>
      </c>
      <c r="C13" s="83" t="str">
        <f>VLOOKUP($A13,'START HERE'!$A$13:$C$21,3,0)&amp;""</f>
        <v>America's Software Corporation</v>
      </c>
      <c r="D13" s="39"/>
      <c r="E13" s="39"/>
      <c r="F13" s="57"/>
      <c r="I13" s="42"/>
      <c r="J13" s="42"/>
    </row>
    <row r="14" spans="1:10" s="1" customFormat="1" ht="22.25" customHeight="1">
      <c r="A14" s="25" t="s">
        <v>24</v>
      </c>
      <c r="B14" s="26" t="str">
        <f>VLOOKUP($A14,Questions!$A$2:$X$333,2,0)&amp;""</f>
        <v>Solution Name</v>
      </c>
      <c r="C14" s="83" t="str">
        <f>VLOOKUP($A14,'START HERE'!$A$13:$C$21,3,0)&amp;""</f>
        <v>TalEval, Discovery Pro</v>
      </c>
      <c r="D14" s="39"/>
      <c r="E14" s="39"/>
      <c r="F14" s="57"/>
      <c r="I14" s="42"/>
      <c r="J14" s="42"/>
    </row>
    <row r="15" spans="1:10" s="1" customFormat="1" ht="22.25" customHeight="1">
      <c r="A15" s="25" t="s">
        <v>25</v>
      </c>
      <c r="B15" s="26" t="str">
        <f>VLOOKUP($A15,Questions!$A$2:$X$333,2,0)&amp;""</f>
        <v>Solution Description</v>
      </c>
      <c r="C15" s="83" t="str">
        <f>VLOOKUP($A15,'START HERE'!$A$13:$C$21,3,0)&amp;""</f>
        <v>Dental Hygiene/COS Student  Tracking</v>
      </c>
      <c r="D15" s="39"/>
      <c r="E15" s="39"/>
      <c r="F15" s="57"/>
      <c r="I15" s="42"/>
      <c r="J15" s="42"/>
    </row>
    <row r="16" spans="1:10" s="1" customFormat="1" ht="22.25" customHeight="1" thickBot="1">
      <c r="A16" s="25" t="s">
        <v>30</v>
      </c>
      <c r="B16" s="26" t="str">
        <f>VLOOKUP($A16,Questions!$A$2:$X$333,2,0)&amp;""</f>
        <v>Country of Company Headquarters</v>
      </c>
      <c r="C16" s="83" t="str">
        <f>VLOOKUP($A16,'START HERE'!$A$13:$C$21,3,0)&amp;""</f>
        <v>USA</v>
      </c>
      <c r="D16" s="39"/>
      <c r="E16" s="39"/>
      <c r="F16" s="57"/>
      <c r="I16" s="42"/>
      <c r="J16" s="42"/>
    </row>
    <row r="17" spans="1:10" s="1" customFormat="1" ht="37.25" customHeight="1" thickBot="1">
      <c r="A17" s="70" t="str">
        <f>VLOOKUP(LEFT($A18,4),'Auto Responses'!$N$4:$O$38,2,0)&amp;""</f>
        <v xml:space="preserve"> Required Questions</v>
      </c>
      <c r="B17" s="29"/>
      <c r="C17" s="19" t="s">
        <v>1583</v>
      </c>
      <c r="D17" s="19"/>
      <c r="E17" s="38" t="s">
        <v>904</v>
      </c>
      <c r="F17" s="194" t="s">
        <v>905</v>
      </c>
      <c r="I17" s="42"/>
      <c r="J17" s="42"/>
    </row>
    <row r="18" spans="1:10" s="1" customFormat="1" ht="38.25" customHeight="1" thickBot="1">
      <c r="A18" s="25" t="s">
        <v>48</v>
      </c>
      <c r="B18" s="24" t="str">
        <f>VLOOKUP($A18,Questions!$A$2:$X$333,2,0)</f>
        <v>Are you offering either a product or platform, as opposed to only offering a service</v>
      </c>
      <c r="C18" s="79" t="str">
        <f>VLOOKUP($A18,'START HERE'!$A$23:$F$36,3,0)&amp;""</f>
        <v>Yes</v>
      </c>
      <c r="D18" s="332" t="str">
        <f>VLOOKUP($A18,'START HERE'!$A$23:$F$36,4,0)&amp;""</f>
        <v>America’s Software Corporation provides web-based software products (TalEval and Discovery Pro) that institutions license and access via login. These are cloud-hosted applications, not a service-only offering</v>
      </c>
      <c r="E18" s="174" t="str">
        <f>IF($C18="Yes",VLOOKUP($A18,Questions!$A$2:$X$333,17,0)&amp;"",IF($C18="No",VLOOKUP($A18,Questions!$A$2:$X$333,16,0)&amp;"",VLOOKUP($A18,Questions!$A$2:$X$333,15,0)&amp;""))</f>
        <v>DO complete the Product and Infrastructure worksheets</v>
      </c>
      <c r="F18" s="208" t="str">
        <f>VLOOKUP($A18,'Institution Evaluation'!$A$56:$F$346,6,0)&amp;""</f>
        <v/>
      </c>
      <c r="G18" s="255" t="s">
        <v>1531</v>
      </c>
      <c r="I18" s="42"/>
      <c r="J18" s="42"/>
    </row>
    <row r="19" spans="1:10" s="1" customFormat="1" ht="37.25" customHeight="1" thickBot="1">
      <c r="A19" s="70" t="str">
        <f>VLOOKUP(LEFT($A20,4),'Auto Responses'!$N$4:$O$38,2,0)&amp;""</f>
        <v xml:space="preserve"> Authentication, Authorization, and Account Management</v>
      </c>
      <c r="B19" s="29"/>
      <c r="C19" s="19" t="s">
        <v>1583</v>
      </c>
      <c r="D19" s="19" t="s">
        <v>72</v>
      </c>
      <c r="E19" s="38" t="s">
        <v>904</v>
      </c>
      <c r="F19" s="194" t="s">
        <v>905</v>
      </c>
      <c r="I19" s="42"/>
      <c r="J19" s="42"/>
    </row>
    <row r="20" spans="1:10" s="1" customFormat="1" ht="97.5" customHeight="1">
      <c r="A20" s="25" t="s">
        <v>222</v>
      </c>
      <c r="B20" s="24" t="str">
        <f>VLOOKUP($A20,Questions!$A$2:$X$333,2,0)</f>
        <v>Does your solution support single sign-on (SSO) protocols for user and administrator authentication?*</v>
      </c>
      <c r="C20" s="27" t="s">
        <v>1654</v>
      </c>
      <c r="D20" s="364" t="s">
        <v>1804</v>
      </c>
      <c r="E20" s="174" t="str">
        <f>IF($C$18="No",'Auto Responses'!$A$3,IF($C20="Yes",VLOOKUP($A20,Questions!$A$2:$X$333,17,0)&amp;"",IF($C20="No",VLOOKUP($A20,Questions!$A$2:$X$333,16,0)&amp;"",VLOOKUP($A20,Questions!$A$2:$X$333,15,0)&amp;"")))</f>
        <v>Describe plans to support strong authentication practices.</v>
      </c>
      <c r="F20" s="208" t="str">
        <f>VLOOKUP($A20,'Institution Evaluation'!$A$56:$F$346,6,0)&amp;""</f>
        <v/>
      </c>
      <c r="I20" s="42"/>
      <c r="J20" s="42"/>
    </row>
    <row r="21" spans="1:10" s="1" customFormat="1" ht="45.75" customHeight="1">
      <c r="A21" s="25" t="s">
        <v>227</v>
      </c>
      <c r="B21" s="24" t="str">
        <f>VLOOKUP($A21,Questions!$A$2:$X$333,2,0)</f>
        <v>For customers not using SSO, does your solution support local authentication protocols for user and administrator authentication?*</v>
      </c>
      <c r="C21" s="27" t="s">
        <v>1652</v>
      </c>
      <c r="D21" s="364" t="s">
        <v>1805</v>
      </c>
      <c r="E21" s="174" t="str">
        <f>IF($C$18="No",'Auto Responses'!$A$3,IF($C21="Yes",VLOOKUP($A21,Questions!$A$2:$X$333,17,0)&amp;"",IF($C21="No",VLOOKUP($A21,Questions!$A$2:$X$333,16,0)&amp;"",VLOOKUP($A21,Questions!$A$2:$X$333,15,0)&amp;"")))</f>
        <v>Provide a detailed description of your local authentication mode practices.</v>
      </c>
      <c r="F21" s="208" t="str">
        <f>VLOOKUP($A21,'Institution Evaluation'!$A$56:$F$346,6,0)&amp;""</f>
        <v/>
      </c>
      <c r="I21" s="42"/>
      <c r="J21" s="42"/>
    </row>
    <row r="22" spans="1:10" s="1" customFormat="1" ht="48" customHeight="1">
      <c r="A22" s="25" t="s">
        <v>231</v>
      </c>
      <c r="B22" s="24" t="str">
        <f>VLOOKUP($A22,Questions!$A$2:$X$333,2,0)</f>
        <v>For customers not using SSO, can you enforce password/passphrase complexity requirements (provided by the institution)?*</v>
      </c>
      <c r="C22" s="27" t="s">
        <v>1652</v>
      </c>
      <c r="D22" s="364" t="s">
        <v>1700</v>
      </c>
      <c r="E22" s="174" t="str">
        <f>IF($C$18="No",'Auto Responses'!$A$3,IF($C22="Yes",VLOOKUP($A22,Questions!$A$2:$X$333,17,0)&amp;"",IF($C22="No",VLOOKUP($A22,Questions!$A$2:$X$333,16,0)&amp;"",VLOOKUP($A22,Questions!$A$2:$X$333,15,0)&amp;"")))</f>
        <v>Describe how password/passphrase complexity requirements are implemented in the product.</v>
      </c>
      <c r="F22" s="208" t="str">
        <f>VLOOKUP($A22,'Institution Evaluation'!$A$56:$F$346,6,0)&amp;""</f>
        <v/>
      </c>
      <c r="I22" s="42"/>
      <c r="J22" s="42"/>
    </row>
    <row r="23" spans="1:10" s="1" customFormat="1" ht="72" customHeight="1">
      <c r="A23" s="25" t="s">
        <v>232</v>
      </c>
      <c r="B23" s="24" t="str">
        <f>VLOOKUP($A23,Questions!$A$2:$X$333,2,0)</f>
        <v>For customers not using SSO, does the system have password complexity or length limitations and/or restrictions?*</v>
      </c>
      <c r="C23" s="27" t="s">
        <v>1652</v>
      </c>
      <c r="D23" s="364" t="s">
        <v>1806</v>
      </c>
      <c r="E23" s="174" t="str">
        <f>IF($C$18="No",'Auto Responses'!$A$3,IF($C23="Yes",VLOOKUP($A23,Questions!$A$2:$X$333,17,0)&amp;"",IF($C23="No",VLOOKUP($A23,Questions!$A$2:$X$333,16,0)&amp;"",VLOOKUP($A23,Questions!$A$2:$X$333,15,0)&amp;"")))</f>
        <v>Describe these limitations and/or restrictions and state what lengths and complexities are supported.</v>
      </c>
      <c r="F23" s="208" t="str">
        <f>VLOOKUP($A23,'Institution Evaluation'!$A$56:$F$346,6,0)&amp;""</f>
        <v/>
      </c>
      <c r="I23" s="42"/>
      <c r="J23" s="42"/>
    </row>
    <row r="24" spans="1:10" s="1" customFormat="1" ht="73.5" customHeight="1">
      <c r="A24" s="25" t="s">
        <v>236</v>
      </c>
      <c r="B24" s="24" t="str">
        <f>VLOOKUP($A24,Questions!$A$2:$X$333,2,0)</f>
        <v>For customers not using SSO, do you have documented password/passphrase reset procedures that are currently implemented in the system and/or customer support?*</v>
      </c>
      <c r="C24" s="27" t="s">
        <v>1652</v>
      </c>
      <c r="D24" s="364" t="s">
        <v>1701</v>
      </c>
      <c r="E24" s="174" t="str">
        <f>IF($C$18="No",'Auto Responses'!$A$3,IF($C24="Yes",VLOOKUP($A24,Questions!$A$2:$X$333,17,0)&amp;"",IF($C24="No",VLOOKUP($A24,Questions!$A$2:$X$333,16,0)&amp;"",VLOOKUP($A24,Questions!$A$2:$X$333,15,0)&amp;"")))</f>
        <v>Describe your documented password/passphrase reset procedures that are currently implemented in the system and/or customer support.</v>
      </c>
      <c r="F24" s="208" t="str">
        <f>VLOOKUP($A24,'Institution Evaluation'!$A$56:$F$346,6,0)&amp;""</f>
        <v/>
      </c>
      <c r="H24" s="179"/>
      <c r="I24" s="42"/>
      <c r="J24" s="42"/>
    </row>
    <row r="25" spans="1:10" s="1" customFormat="1" ht="57.75" customHeight="1">
      <c r="A25" s="25" t="s">
        <v>239</v>
      </c>
      <c r="B25" s="24" t="str">
        <f>VLOOKUP($A25,Questions!$A$2:$X$333,2,0)</f>
        <v>Does your organization participate in InCommon or another eduGAIN-affiliated trust federation?*</v>
      </c>
      <c r="C25" s="27" t="s">
        <v>1654</v>
      </c>
      <c r="D25" s="364" t="s">
        <v>1807</v>
      </c>
      <c r="E25" s="174" t="str">
        <f>IF($C$18="No",'Auto Responses'!$A$3,IF($C25="Yes",VLOOKUP($A25,Questions!$A$2:$X$333,17,0)&amp;"",IF($C25="No",VLOOKUP($A25,Questions!$A$2:$X$333,16,0)&amp;"",VLOOKUP($A25,Questions!$A$2:$X$333,15,0)&amp;"")))</f>
        <v>Describe plans to participate in InCommon or another eduGAIN-affiliated trust federation.</v>
      </c>
      <c r="F25" s="208" t="str">
        <f>VLOOKUP($A25,'Institution Evaluation'!$A$56:$F$346,6,0)&amp;""</f>
        <v/>
      </c>
      <c r="I25" s="42"/>
      <c r="J25" s="42"/>
    </row>
    <row r="26" spans="1:10" s="1" customFormat="1" ht="38.25" customHeight="1">
      <c r="A26" s="25" t="s">
        <v>242</v>
      </c>
      <c r="B26" s="24" t="str">
        <f>VLOOKUP($A26,Questions!$A$2:$X$333,2,0)</f>
        <v>Are there any passwords/passphrases hard-coded into your systems or solutions?*</v>
      </c>
      <c r="C26" s="27" t="s">
        <v>1654</v>
      </c>
      <c r="D26" s="364" t="s">
        <v>1684</v>
      </c>
      <c r="E26" s="174" t="str">
        <f>IF($C$18="No",'Auto Responses'!$A$3,IF($C26="Yes",VLOOKUP($A26,Questions!$A$2:$X$333,17,0)&amp;"",IF($C26="No",VLOOKUP($A26,Questions!$A$2:$X$333,16,0)&amp;"",VLOOKUP($A26,Questions!$A$2:$X$333,15,0)&amp;"")))</f>
        <v/>
      </c>
      <c r="F26" s="208" t="str">
        <f>VLOOKUP($A26,'Institution Evaluation'!$A$56:$F$346,6,0)&amp;""</f>
        <v/>
      </c>
      <c r="I26" s="42"/>
      <c r="J26" s="42"/>
    </row>
    <row r="27" spans="1:10" s="1" customFormat="1" ht="38.25" customHeight="1">
      <c r="A27" s="25" t="s">
        <v>245</v>
      </c>
      <c r="B27" s="24" t="str">
        <f>VLOOKUP($A27,Questions!$A$2:$X$333,2,0)</f>
        <v>Are you storing any passwords in plaintext?*</v>
      </c>
      <c r="C27" s="27" t="s">
        <v>1654</v>
      </c>
      <c r="D27" s="333"/>
      <c r="E27" s="174" t="str">
        <f>IF($C$18="No",'Auto Responses'!$A$3,IF($C27="Yes",VLOOKUP($A27,Questions!$A$2:$X$333,17,0)&amp;"",IF($C27="No",VLOOKUP($A27,Questions!$A$2:$X$333,16,0)&amp;"",VLOOKUP($A27,Questions!$A$2:$X$333,15,0)&amp;"")))</f>
        <v/>
      </c>
      <c r="F27" s="208" t="str">
        <f>VLOOKUP($A27,'Institution Evaluation'!$A$56:$F$346,6,0)&amp;""</f>
        <v/>
      </c>
      <c r="I27" s="42"/>
      <c r="J27" s="42"/>
    </row>
    <row r="28" spans="1:10" s="1" customFormat="1" ht="69.75" customHeight="1">
      <c r="A28" s="25" t="s">
        <v>248</v>
      </c>
      <c r="B28" s="24" t="str">
        <f>VLOOKUP($A28,Questions!$A$2:$X$333,2,0)</f>
        <v>Are audit logs available that include AT LEAST all of the following: login, logout, actions performed, and source IP address?*</v>
      </c>
      <c r="C28" s="27" t="s">
        <v>1652</v>
      </c>
      <c r="D28" s="333" t="s">
        <v>1780</v>
      </c>
      <c r="E28" s="174" t="str">
        <f>IF($C$18="No",'Auto Responses'!$A$3,IF($C28="Yes",VLOOKUP($A28,Questions!$A$2:$X$333,17,0)&amp;"",IF($C28="No",VLOOKUP($A28,Questions!$A$2:$X$333,16,0)&amp;"",VLOOKUP($A28,Questions!$A$2:$X$333,15,0)&amp;"")))</f>
        <v/>
      </c>
      <c r="F28" s="208" t="str">
        <f>VLOOKUP($A28,'Institution Evaluation'!$A$56:$F$346,6,0)&amp;""</f>
        <v/>
      </c>
      <c r="I28" s="42"/>
      <c r="J28" s="42"/>
    </row>
    <row r="29" spans="1:10" s="1" customFormat="1" ht="104.25" customHeight="1">
      <c r="A29" s="25" t="s">
        <v>251</v>
      </c>
      <c r="B29" s="24"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84"/>
      <c r="D29" s="364" t="s">
        <v>1767</v>
      </c>
      <c r="E29" s="174" t="str">
        <f>IF($C$18="No",'Auto Responses'!$A$3,IF($C29="Yes",VLOOKUP($A29,Questions!$A$2:$X$333,17,0)&amp;"",IF($C29="No",VLOOKUP($A29,Questions!$A$2:$X$333,16,0)&amp;"",VLOOKUP($A29,Questions!$A$2:$X$333,15,0)&amp;"")))</f>
        <v>Ensure that all elements of AAAI-10 are clearly stated in your response.</v>
      </c>
      <c r="F29" s="208" t="str">
        <f>VLOOKUP($A29,'Institution Evaluation'!$A$56:$F$346,6,0)&amp;""</f>
        <v/>
      </c>
      <c r="I29" s="42"/>
      <c r="J29" s="42"/>
    </row>
    <row r="30" spans="1:10" s="1" customFormat="1" ht="48" customHeight="1">
      <c r="A30" s="25" t="s">
        <v>255</v>
      </c>
      <c r="B30" s="24" t="str">
        <f>VLOOKUP($A30,Questions!$A$2:$X$333,2,0)</f>
        <v>Can you provide the institution documentation regarding the retention period for those logs, how logs are protected, and whether they are accessible to the customer (and if so, how)?*</v>
      </c>
      <c r="C30" s="27" t="s">
        <v>1652</v>
      </c>
      <c r="D30" s="364" t="s">
        <v>1702</v>
      </c>
      <c r="E30" s="174" t="str">
        <f>IF($C$18="No",'Auto Responses'!$A$3,IF($C30="Yes",VLOOKUP($A30,Questions!$A$2:$X$333,17,0)&amp;"",IF($C30="No",VLOOKUP($A30,Questions!$A$2:$X$333,16,0)&amp;"",VLOOKUP($A30,Questions!$A$2:$X$333,15,0)&amp;"")))</f>
        <v/>
      </c>
      <c r="F30" s="208" t="str">
        <f>VLOOKUP($A30,'Institution Evaluation'!$A$56:$F$346,6,0)&amp;""</f>
        <v/>
      </c>
      <c r="I30" s="42"/>
      <c r="J30" s="42"/>
    </row>
    <row r="31" spans="1:10" s="1" customFormat="1" ht="55.5" customHeight="1">
      <c r="A31" s="25" t="s">
        <v>259</v>
      </c>
      <c r="B31" s="24" t="str">
        <f>VLOOKUP($A31,Questions!$A$2:$X$333,2,0)</f>
        <v>For customers not using SSO, does your application support integration with other authentication and authorization systems?</v>
      </c>
      <c r="C31" s="27" t="s">
        <v>1654</v>
      </c>
      <c r="D31" s="364" t="s">
        <v>1808</v>
      </c>
      <c r="E31" s="174" t="str">
        <f>IF($C$18="No",'Auto Responses'!$A$3,IF($C31="Yes",VLOOKUP($A31,Questions!$A$2:$X$333,17,0)&amp;"",IF($C31="No",VLOOKUP($A31,Questions!$A$2:$X$333,16,0)&amp;"",VLOOKUP($A31,Questions!$A$2:$X$333,15,0)&amp;"")))</f>
        <v>Describe any plans to support integration with other authentication and authorization systems.</v>
      </c>
      <c r="F31" s="208" t="str">
        <f>VLOOKUP($A31,'Institution Evaluation'!$A$56:$F$346,6,0)&amp;""</f>
        <v/>
      </c>
      <c r="I31" s="42"/>
      <c r="J31" s="42"/>
    </row>
    <row r="32" spans="1:10" s="1" customFormat="1" ht="51.75" customHeight="1">
      <c r="A32" s="25" t="s">
        <v>261</v>
      </c>
      <c r="B32" s="24" t="str">
        <f>VLOOKUP($A32,Questions!$A$2:$X$333,2,0)</f>
        <v>Do you allow the customer to specify attribute mappings for any needed information beyond a user identifier? (e.g., Reference eduPerson, ePPA/ePPN/ePE)</v>
      </c>
      <c r="C32" s="27" t="s">
        <v>1654</v>
      </c>
      <c r="D32" s="364" t="s">
        <v>1809</v>
      </c>
      <c r="E32" s="174" t="str">
        <f>IF($C$18="No",'Auto Responses'!$A$3,IF($C32="Yes",VLOOKUP($A32,Questions!$A$2:$X$333,17,0)&amp;"",IF($C32="No",VLOOKUP($A32,Questions!$A$2:$X$333,16,0)&amp;"",VLOOKUP($A32,Questions!$A$2:$X$333,15,0)&amp;"")))</f>
        <v>Describe plans to allow customers to specify attribute mappings.</v>
      </c>
      <c r="F32" s="208" t="str">
        <f>VLOOKUP($A32,'Institution Evaluation'!$A$56:$F$346,6,0)&amp;""</f>
        <v/>
      </c>
      <c r="I32" s="42"/>
      <c r="J32" s="42"/>
    </row>
    <row r="33" spans="1:10" s="1" customFormat="1" ht="60" customHeight="1">
      <c r="A33" s="25" t="s">
        <v>266</v>
      </c>
      <c r="B33" s="24" t="str">
        <f>VLOOKUP($A33,Questions!$A$2:$X$333,2,0)</f>
        <v>For customers not using SSO, does your application support directory integration for user accounts?</v>
      </c>
      <c r="C33" s="27" t="s">
        <v>1654</v>
      </c>
      <c r="D33" s="364" t="s">
        <v>1810</v>
      </c>
      <c r="E33" s="174" t="str">
        <f>IF($C$18="No",'Auto Responses'!$A$3,IF($C33="Yes",VLOOKUP($A33,Questions!$A$2:$X$333,17,0)&amp;"",IF($C33="No",VLOOKUP($A33,Questions!$A$2:$X$333,16,0)&amp;"",VLOOKUP($A33,Questions!$A$2:$X$333,15,0)&amp;"")))</f>
        <v>Describe any plans to support external authentication services in place of local authentication.</v>
      </c>
      <c r="F33" s="208" t="str">
        <f>VLOOKUP($A33,'Institution Evaluation'!$A$56:$F$346,6,0)&amp;""</f>
        <v/>
      </c>
      <c r="I33" s="42"/>
      <c r="J33" s="42"/>
    </row>
    <row r="34" spans="1:10" s="1" customFormat="1" ht="75" customHeight="1">
      <c r="A34" s="25" t="s">
        <v>267</v>
      </c>
      <c r="B34" s="24" t="str">
        <f>VLOOKUP($A34,Questions!$A$2:$X$333,2,0)</f>
        <v>Does your solution support any of the following web SSO standards: SAML2 (with redirect flow), OIDC, CAS, or other?</v>
      </c>
      <c r="C34" s="27" t="s">
        <v>1654</v>
      </c>
      <c r="D34" s="364" t="s">
        <v>1781</v>
      </c>
      <c r="E34" s="174" t="str">
        <f>IF($C$18="No",'Auto Responses'!$A$3,IF($C34="Yes",VLOOKUP($A34,Questions!$A$2:$X$333,17,0)&amp;"",IF($C34="No",VLOOKUP($A34,Questions!$A$2:$X$333,16,0)&amp;"",VLOOKUP($A34,Questions!$A$2:$X$333,15,0)&amp;"")))</f>
        <v>Describe plans to support web SSO in your solution.</v>
      </c>
      <c r="F34" s="208" t="str">
        <f>VLOOKUP($A34,'Institution Evaluation'!$A$56:$F$346,6,0)&amp;""</f>
        <v/>
      </c>
      <c r="I34" s="42"/>
      <c r="J34" s="42"/>
    </row>
    <row r="35" spans="1:10" s="1" customFormat="1" ht="70.5" customHeight="1">
      <c r="A35" s="25" t="s">
        <v>271</v>
      </c>
      <c r="B35" s="24" t="str">
        <f>VLOOKUP($A35,Questions!$A$2:$X$333,2,0)</f>
        <v>Do you support differentiation between email address and user identifier?</v>
      </c>
      <c r="C35" s="27" t="s">
        <v>1652</v>
      </c>
      <c r="D35" s="364" t="s">
        <v>1811</v>
      </c>
      <c r="E35" s="174" t="str">
        <f>IF($C$18="No",'Auto Responses'!$A$3,IF($C35="Yes",VLOOKUP($A35,Questions!$A$2:$X$333,17,0)&amp;"",IF($C35="No",VLOOKUP($A35,Questions!$A$2:$X$333,16,0)&amp;"",VLOOKUP($A35,Questions!$A$2:$X$333,15,0)&amp;"")))</f>
        <v/>
      </c>
      <c r="F35" s="208" t="str">
        <f>VLOOKUP($A35,'Institution Evaluation'!$A$56:$F$346,6,0)&amp;""</f>
        <v/>
      </c>
      <c r="I35" s="42"/>
      <c r="J35" s="42"/>
    </row>
    <row r="36" spans="1:10" s="1" customFormat="1" ht="57.75" customHeight="1">
      <c r="A36" s="25" t="s">
        <v>274</v>
      </c>
      <c r="B36" s="24" t="str">
        <f>VLOOKUP($A36,Questions!$A$2:$X$333,2,0)</f>
        <v>For customers not using SSO, does your application and/or user frontend/portal support multifactor authentication (e.g., Duo, Google Authenticator, OTP, etc.)?</v>
      </c>
      <c r="C36" s="27" t="s">
        <v>1654</v>
      </c>
      <c r="D36" s="364"/>
      <c r="E36" s="174" t="str">
        <f>IF($C$18="No",'Auto Responses'!$A$3,IF($C$20="No",'Auto Responses'!$A$28,IF($C36="Yes",VLOOKUP($A36,Questions!$A$2:$X$333,17,0)&amp;"",IF($C36="No",VLOOKUP($A36,Questions!$A$2:$X$333,16,0)&amp;"",VLOOKUP($A36,Questions!$A$2:$X$333,15,0)&amp;""))))</f>
        <v>Based on the response to AAAI-01, this question does not apply to this product or service.</v>
      </c>
      <c r="F36" s="208" t="str">
        <f>VLOOKUP($A36,'Institution Evaluation'!$A$56:$F$346,6,0)&amp;""</f>
        <v/>
      </c>
      <c r="I36" s="42"/>
      <c r="J36" s="42"/>
    </row>
    <row r="37" spans="1:10" s="1" customFormat="1" ht="99" customHeight="1" thickBot="1">
      <c r="A37" s="25" t="s">
        <v>277</v>
      </c>
      <c r="B37" s="24" t="str">
        <f>VLOOKUP($A37,Questions!$A$2:$X$333,2,0)</f>
        <v>Does your application automatically lock the session or log out an account after a period of inactivity?</v>
      </c>
      <c r="C37" s="27" t="s">
        <v>1652</v>
      </c>
      <c r="D37" s="333" t="s">
        <v>1659</v>
      </c>
      <c r="E37" s="174" t="str">
        <f>IF($C$18="No",'Auto Responses'!$A$3,IF($C37="Yes",VLOOKUP($A37,Questions!$A$2:$X$333,17,0)&amp;"",IF($C37="No",VLOOKUP($A37,Questions!$A$2:$X$333,16,0)&amp;"",VLOOKUP($A37,Questions!$A$2:$X$333,15,0)&amp;"")))</f>
        <v>Describe the default behavior of this capability.</v>
      </c>
      <c r="F37" s="208" t="str">
        <f>VLOOKUP($A37,'Institution Evaluation'!$A$56:$F$346,6,0)&amp;""</f>
        <v/>
      </c>
      <c r="G37" s="255" t="s">
        <v>1531</v>
      </c>
      <c r="I37" s="42"/>
      <c r="J37" s="42"/>
    </row>
    <row r="38" spans="1:10" s="1" customFormat="1" ht="37.25" customHeight="1" thickBot="1">
      <c r="A38" s="70" t="str">
        <f>VLOOKUP(LEFT($A39,4),'Auto Responses'!$N$4:$O$38,2,0)&amp;""</f>
        <v xml:space="preserve"> Data</v>
      </c>
      <c r="B38" s="29"/>
      <c r="C38" s="19" t="s">
        <v>1583</v>
      </c>
      <c r="D38" s="19" t="s">
        <v>72</v>
      </c>
      <c r="E38" s="38" t="s">
        <v>904</v>
      </c>
      <c r="F38" s="194" t="s">
        <v>905</v>
      </c>
      <c r="I38" s="42"/>
      <c r="J38" s="42"/>
    </row>
    <row r="39" spans="1:10" s="1" customFormat="1" ht="72" customHeight="1">
      <c r="A39" s="25" t="s">
        <v>336</v>
      </c>
      <c r="B39" s="24" t="str">
        <f>VLOOKUP($A39,Questions!$A$2:$X$333,2,0)</f>
        <v>Will the institution's data be stored on any devices (database servers, file servers, SAN, NAS, etc.) configured with non-RFC 1918/4193 (i.e., publicly routable) IP addresses?*</v>
      </c>
      <c r="C39" s="27" t="s">
        <v>1654</v>
      </c>
      <c r="D39" s="364" t="s">
        <v>1679</v>
      </c>
      <c r="E39" s="174" t="str">
        <f>IF($C$18="No",'Auto Responses'!$A$3,IF($C39="Yes",VLOOKUP($A39,Questions!$A$2:$X$333,17,0)&amp;"",IF($C39="No",VLOOKUP($A39,Questions!$A$2:$X$333,16,0)&amp;"",VLOOKUP($A39,Questions!$A$2:$X$333,15,0)&amp;"")))</f>
        <v/>
      </c>
      <c r="F39" s="208" t="str">
        <f>VLOOKUP($A39,'Institution Evaluation'!$A$56:$F$346,6,0)&amp;""</f>
        <v/>
      </c>
      <c r="I39" s="42"/>
      <c r="J39" s="42"/>
    </row>
    <row r="40" spans="1:10" s="1" customFormat="1" ht="61.5" customHeight="1">
      <c r="A40" s="25" t="s">
        <v>340</v>
      </c>
      <c r="B40" s="24" t="str">
        <f>VLOOKUP($A40,Questions!$A$2:$X$333,2,0)</f>
        <v>Is the transport of sensitive data encrypted using security protocols/algorithms (e.g., system-to-client)?*</v>
      </c>
      <c r="C40" s="27" t="s">
        <v>1652</v>
      </c>
      <c r="D40" s="364" t="s">
        <v>1680</v>
      </c>
      <c r="E40" s="174" t="str">
        <f>IF($C$18="No",'Auto Responses'!$A$3,IF($C40="Yes",VLOOKUP($A40,Questions!$A$2:$X$333,17,0)&amp;"",IF($C40="No",VLOOKUP($A40,Questions!$A$2:$X$333,16,0)&amp;"",VLOOKUP($A40,Questions!$A$2:$X$333,15,0)&amp;"")))</f>
        <v>Summarize your transport encryption strategy.</v>
      </c>
      <c r="F40" s="208" t="str">
        <f>VLOOKUP($A40,'Institution Evaluation'!$A$56:$F$346,6,0)&amp;""</f>
        <v/>
      </c>
      <c r="I40" s="42"/>
      <c r="J40" s="42"/>
    </row>
    <row r="41" spans="1:10" s="1" customFormat="1" ht="52.5" customHeight="1">
      <c r="A41" s="25" t="s">
        <v>343</v>
      </c>
      <c r="B41" s="24" t="str">
        <f>VLOOKUP($A41,Questions!$A$2:$X$333,2,0)</f>
        <v>Is the storage of sensitive data encrypted using security protocols/algorithms (e.g., disk encryption, at-rest, files, and within a running database)?*</v>
      </c>
      <c r="C41" s="27" t="s">
        <v>1652</v>
      </c>
      <c r="D41" s="364" t="s">
        <v>1768</v>
      </c>
      <c r="E41" s="174" t="str">
        <f>IF($C$18="No",'Auto Responses'!$A$3,IF($C41="Yes",VLOOKUP($A41,Questions!$A$2:$X$333,17,0)&amp;"",IF($C41="No",VLOOKUP($A41,Questions!$A$2:$X$333,16,0)&amp;"",VLOOKUP($A41,Questions!$A$2:$X$333,15,0)&amp;"")))</f>
        <v>Summarize your data encryption strategy and state what encryption options are available.</v>
      </c>
      <c r="F41" s="208" t="str">
        <f>VLOOKUP($A41,'Institution Evaluation'!$A$56:$F$346,6,0)&amp;""</f>
        <v/>
      </c>
      <c r="I41" s="42"/>
      <c r="J41" s="42"/>
    </row>
    <row r="42" spans="1:10" s="1" customFormat="1" ht="51.75" customHeight="1">
      <c r="A42" s="25" t="s">
        <v>347</v>
      </c>
      <c r="B42" s="24" t="str">
        <f>VLOOKUP($A42,Questions!$A$2:$X$333,2,0)</f>
        <v>Do all cryptographic modules in use in your solution conform to the Federal Information Processing Standards (FIPS PUB 140-2 or 140-3)?*</v>
      </c>
      <c r="C42" s="27" t="s">
        <v>1652</v>
      </c>
      <c r="D42" s="364" t="s">
        <v>1769</v>
      </c>
      <c r="E42" s="174" t="str">
        <f>IF($C$18="No",'Auto Responses'!$A$3,IF($C42="Yes",VLOOKUP($A42,Questions!$A$2:$X$333,17,0)&amp;"",IF($C42="No",VLOOKUP($A42,Questions!$A$2:$X$333,16,0)&amp;"",VLOOKUP($A42,Questions!$A$2:$X$333,15,0)&amp;"")))</f>
        <v>Provide reference to FIPS 140-3 validation certificates.</v>
      </c>
      <c r="F42" s="208" t="str">
        <f>VLOOKUP($A42,'Institution Evaluation'!$A$56:$F$346,6,0)&amp;""</f>
        <v/>
      </c>
      <c r="I42" s="42"/>
      <c r="J42" s="42"/>
    </row>
    <row r="43" spans="1:10" s="1" customFormat="1" ht="38.25" customHeight="1">
      <c r="A43" s="25" t="s">
        <v>352</v>
      </c>
      <c r="B43" s="24" t="str">
        <f>VLOOKUP($A43,Questions!$A$2:$X$333,2,0)</f>
        <v>Will the institution's data be available within the system for a period of time at the completion of this contract?*</v>
      </c>
      <c r="C43" s="27" t="s">
        <v>1652</v>
      </c>
      <c r="D43" s="333" t="s">
        <v>1660</v>
      </c>
      <c r="E43" s="174" t="str">
        <f>IF($C$18="No",'Auto Responses'!$A$3,IF($C43="Yes",VLOOKUP($A43,Questions!$A$2:$X$333,17,0)&amp;"",IF($C43="No",VLOOKUP($A43,Questions!$A$2:$X$333,16,0)&amp;"",VLOOKUP($A43,Questions!$A$2:$X$333,15,0)&amp;"")))</f>
        <v>State the length of time that the institution's data will be available in the system at the completion of the contract.</v>
      </c>
      <c r="F43" s="208" t="str">
        <f>VLOOKUP($A43,'Institution Evaluation'!$A$56:$F$346,6,0)&amp;""</f>
        <v/>
      </c>
      <c r="I43" s="42"/>
      <c r="J43" s="42"/>
    </row>
    <row r="44" spans="1:10" s="1" customFormat="1" ht="38.25" customHeight="1">
      <c r="A44" s="25" t="s">
        <v>355</v>
      </c>
      <c r="B44" s="24" t="str">
        <f>VLOOKUP($A44,Questions!$A$2:$X$333,2,0)</f>
        <v>Are these rights retained even through a provider acquisition or bankruptcy event?*</v>
      </c>
      <c r="C44" s="27" t="s">
        <v>1652</v>
      </c>
      <c r="D44" s="333" t="s">
        <v>1681</v>
      </c>
      <c r="E44" s="174" t="str">
        <f>IF($C$18="No",'Auto Responses'!$A$3,IF($C44="Yes",VLOOKUP($A44,Questions!$A$2:$X$333,17,0)&amp;"",IF($C44="No",VLOOKUP($A44,Questions!$A$2:$X$333,16,0)&amp;"",VLOOKUP($A44,Questions!$A$2:$X$333,15,0)&amp;"")))</f>
        <v>Provide references, as needed.</v>
      </c>
      <c r="F44" s="208" t="str">
        <f>VLOOKUP($A44,'Institution Evaluation'!$A$56:$F$346,6,0)&amp;""</f>
        <v/>
      </c>
      <c r="I44" s="42"/>
      <c r="J44" s="42"/>
    </row>
    <row r="45" spans="1:10" s="1" customFormat="1" ht="38.25" customHeight="1">
      <c r="A45" s="25" t="s">
        <v>357</v>
      </c>
      <c r="B45" s="24" t="str">
        <f>VLOOKUP($A45,Questions!$A$2:$X$333,2,0)</f>
        <v>Do backups containing the institution's data ever leave the institution's data zone either physically or via network routing?*</v>
      </c>
      <c r="C45" s="27" t="s">
        <v>1654</v>
      </c>
      <c r="D45" s="364" t="s">
        <v>1682</v>
      </c>
      <c r="E45" s="174" t="str">
        <f>IF($C$18="No",'Auto Responses'!$A$3,IF($C45="Yes",VLOOKUP($A45,Questions!$A$2:$X$333,17,0)&amp;"",IF($C45="No",VLOOKUP($A45,Questions!$A$2:$X$333,16,0)&amp;"",VLOOKUP($A45,Questions!$A$2:$X$333,15,0)&amp;"")))</f>
        <v/>
      </c>
      <c r="F45" s="208" t="str">
        <f>VLOOKUP($A45,'Institution Evaluation'!$A$56:$F$346,6,0)&amp;""</f>
        <v/>
      </c>
      <c r="I45" s="42"/>
      <c r="J45" s="42"/>
    </row>
    <row r="46" spans="1:10" s="1" customFormat="1" ht="38.25" customHeight="1">
      <c r="A46" s="25" t="s">
        <v>359</v>
      </c>
      <c r="B46" s="24" t="str">
        <f>VLOOKUP($A46,Questions!$A$2:$X$333,2,0)</f>
        <v>Is media used for long-term retention of business data and archival purposes stored in a secure, environmentally protected area?*</v>
      </c>
      <c r="C46" s="27" t="s">
        <v>1652</v>
      </c>
      <c r="D46" s="364" t="s">
        <v>1770</v>
      </c>
      <c r="E46" s="174" t="str">
        <f>IF($C$18="No",'Auto Responses'!$A$3,IF($C46="Yes",VLOOKUP($A46,Questions!$A$2:$X$333,17,0)&amp;"",IF($C46="No",VLOOKUP($A46,Questions!$A$2:$X$333,16,0)&amp;"",VLOOKUP($A46,Questions!$A$2:$X$333,15,0)&amp;"")))</f>
        <v>Provide a general summary of your archival environment.</v>
      </c>
      <c r="F46" s="208" t="str">
        <f>VLOOKUP($A46,'Institution Evaluation'!$A$56:$F$346,6,0)&amp;""</f>
        <v/>
      </c>
      <c r="I46" s="42"/>
      <c r="J46" s="42"/>
    </row>
    <row r="47" spans="1:10" s="1" customFormat="1" ht="48" customHeight="1">
      <c r="A47" s="25" t="s">
        <v>363</v>
      </c>
      <c r="B47" s="24" t="str">
        <f>VLOOKUP($A47,Questions!$A$2:$X$333,2,0)</f>
        <v>At the completion of this contract, will data be returned to the institution and/or deleted from all your systems and archives?</v>
      </c>
      <c r="C47" s="27" t="s">
        <v>1652</v>
      </c>
      <c r="D47" s="333" t="s">
        <v>1661</v>
      </c>
      <c r="E47" s="174" t="str">
        <f>IF($C$18="No",'Auto Responses'!$A$3,IF($C47="Yes",VLOOKUP($A47,Questions!$A$2:$X$333,17,0)&amp;"",IF($C47="No",VLOOKUP($A47,Questions!$A$2:$X$333,16,0)&amp;"",VLOOKUP($A47,Questions!$A$2:$X$333,15,0)&amp;"")))</f>
        <v>State the length of time that the institution's data will be available in the system at the completion of the contract.</v>
      </c>
      <c r="F47" s="208" t="str">
        <f>VLOOKUP($A47,'Institution Evaluation'!$A$56:$F$346,6,0)&amp;""</f>
        <v/>
      </c>
      <c r="I47" s="42"/>
      <c r="J47" s="42"/>
    </row>
    <row r="48" spans="1:10" s="1" customFormat="1" ht="38.25" customHeight="1">
      <c r="A48" s="25" t="s">
        <v>367</v>
      </c>
      <c r="B48" s="24" t="str">
        <f>VLOOKUP($A48,Questions!$A$2:$X$333,2,0)</f>
        <v>Can the institution extract a full or partial backup of data?</v>
      </c>
      <c r="C48" s="27" t="s">
        <v>1652</v>
      </c>
      <c r="D48" s="364" t="s">
        <v>1704</v>
      </c>
      <c r="E48" s="174" t="str">
        <f>IF($C$18="No",'Auto Responses'!$A$3,IF($C48="Yes",VLOOKUP($A48,Questions!$A$2:$X$333,17,0)&amp;"",IF($C48="No",VLOOKUP($A48,Questions!$A$2:$X$333,16,0)&amp;"",VLOOKUP($A48,Questions!$A$2:$X$333,15,0)&amp;"")))</f>
        <v>Provide a general summary of how full and partial backups of data can be extracted.</v>
      </c>
      <c r="F48" s="208" t="str">
        <f>VLOOKUP($A48,'Institution Evaluation'!$A$56:$F$346,6,0)&amp;""</f>
        <v/>
      </c>
      <c r="I48" s="42"/>
      <c r="J48" s="42"/>
    </row>
    <row r="49" spans="1:10" s="1" customFormat="1" ht="54" customHeight="1">
      <c r="A49" s="25" t="s">
        <v>371</v>
      </c>
      <c r="B49" s="24" t="str">
        <f>VLOOKUP($A49,Questions!$A$2:$X$333,2,0)</f>
        <v>Do current backups include all operating system software, utilities, security software, application software, and data files necessary for recovery?</v>
      </c>
      <c r="C49" s="27" t="s">
        <v>1652</v>
      </c>
      <c r="D49" s="364" t="s">
        <v>1683</v>
      </c>
      <c r="E49" s="174" t="str">
        <f>IF($C$18="No",'Auto Responses'!$A$3,IF($C49="Yes",VLOOKUP($A49,Questions!$A$2:$X$333,17,0)&amp;"",IF($C49="No",VLOOKUP($A49,Questions!$A$2:$X$333,16,0)&amp;"",VLOOKUP($A49,Questions!$A$2:$X$333,15,0)&amp;"")))</f>
        <v>Decribe your overall strategy to accomplish these elements.</v>
      </c>
      <c r="F49" s="208" t="str">
        <f>VLOOKUP($A49,'Institution Evaluation'!$A$56:$F$346,6,0)&amp;""</f>
        <v/>
      </c>
      <c r="I49" s="42"/>
      <c r="J49" s="42"/>
    </row>
    <row r="50" spans="1:10" s="1" customFormat="1" ht="53.25" customHeight="1">
      <c r="A50" s="25" t="s">
        <v>375</v>
      </c>
      <c r="B50" s="24" t="str">
        <f>VLOOKUP($A50,Questions!$A$2:$X$333,2,0)</f>
        <v>Are you performing off-site backups (i.e., digitally moved off site)?</v>
      </c>
      <c r="C50" s="27" t="s">
        <v>1652</v>
      </c>
      <c r="D50" s="364" t="s">
        <v>1703</v>
      </c>
      <c r="E50" s="174" t="str">
        <f>IF($C$18="No",'Auto Responses'!$A$3,IF($C50="Yes",VLOOKUP($A50,Questions!$A$2:$X$333,17,0)&amp;"",IF($C50="No",VLOOKUP($A50,Questions!$A$2:$X$333,16,0)&amp;"",VLOOKUP($A50,Questions!$A$2:$X$333,15,0)&amp;"")))</f>
        <v>Summarize your off-site backup strategy.</v>
      </c>
      <c r="F50" s="208" t="str">
        <f>VLOOKUP($A50,'Institution Evaluation'!$A$56:$F$346,6,0)&amp;""</f>
        <v/>
      </c>
      <c r="I50" s="42"/>
      <c r="J50" s="42"/>
    </row>
    <row r="51" spans="1:10" s="1" customFormat="1" ht="51.75" customHeight="1">
      <c r="A51" s="25" t="s">
        <v>381</v>
      </c>
      <c r="B51" s="24" t="str">
        <f>VLOOKUP($A51,Questions!$A$2:$X$333,2,0)</f>
        <v>Are physical backups taken off-site (i.e., physically moved off site)?</v>
      </c>
      <c r="C51" s="27" t="s">
        <v>1652</v>
      </c>
      <c r="D51" s="333" t="s">
        <v>1760</v>
      </c>
      <c r="E51" s="174" t="str">
        <f>IF($C$18="No",'Auto Responses'!$A$3,IF($C51="Yes",VLOOKUP($A51,Questions!$A$2:$X$333,17,0)&amp;"",IF($C51="No",VLOOKUP($A51,Questions!$A$2:$X$333,16,0)&amp;"",VLOOKUP($A51,Questions!$A$2:$X$333,15,0)&amp;"")))</f>
        <v>Provide the distance (in miles) between the primary and off-site locations.</v>
      </c>
      <c r="F51" s="208" t="str">
        <f>VLOOKUP($A51,'Institution Evaluation'!$A$56:$F$346,6,0)&amp;""</f>
        <v/>
      </c>
      <c r="I51" s="42"/>
      <c r="J51" s="42"/>
    </row>
    <row r="52" spans="1:10" s="1" customFormat="1" ht="75.75" customHeight="1">
      <c r="A52" s="25" t="s">
        <v>386</v>
      </c>
      <c r="B52" s="24" t="str">
        <f>VLOOKUP($A52,Questions!$A$2:$X$333,2,0)</f>
        <v>Are data backups encrypted?</v>
      </c>
      <c r="C52" s="27" t="s">
        <v>1652</v>
      </c>
      <c r="D52" s="364" t="s">
        <v>1705</v>
      </c>
      <c r="E52" s="174" t="str">
        <f>IF($C$18="No",'Auto Responses'!$A$3,IF($C52="Yes",VLOOKUP($A52,Questions!$A$2:$X$333,17,0)&amp;"",IF($C52="No",VLOOKUP($A52,Questions!$A$2:$X$333,16,0)&amp;"",VLOOKUP($A52,Questions!$A$2:$X$333,15,0)&amp;"")))</f>
        <v>Summarize the encryption algorithm/strategy you are using to secure backups.</v>
      </c>
      <c r="F52" s="208" t="str">
        <f>VLOOKUP($A52,'Institution Evaluation'!$A$56:$F$346,6,0)&amp;""</f>
        <v/>
      </c>
      <c r="I52" s="42"/>
      <c r="J52" s="42"/>
    </row>
    <row r="53" spans="1:10" s="1" customFormat="1" ht="66" customHeight="1">
      <c r="A53" s="25" t="s">
        <v>387</v>
      </c>
      <c r="B53" s="24" t="str">
        <f>VLOOKUP($A53,Questions!$A$2:$X$333,2,0)</f>
        <v>Do you have a media handling process that is documented and currently implemented that meets established business needs and regulatory requirements, including end-of-life, repurposing, and data-sanitization procedures?</v>
      </c>
      <c r="C53" s="27" t="s">
        <v>1652</v>
      </c>
      <c r="D53" s="364" t="s">
        <v>1706</v>
      </c>
      <c r="E53" s="174" t="str">
        <f>IF($C$18="No",'Auto Responses'!$A$3,IF($C53="Yes",VLOOKUP($A53,Questions!$A$2:$X$333,17,0)&amp;"",IF($C53="No",VLOOKUP($A53,Questions!$A$2:$X$333,16,0)&amp;"",VLOOKUP($A53,Questions!$A$2:$X$333,15,0)&amp;"")))</f>
        <v>Provide documented details of this process (link or attached).</v>
      </c>
      <c r="F53" s="208" t="str">
        <f>VLOOKUP($A53,'Institution Evaluation'!$A$56:$F$346,6,0)&amp;""</f>
        <v/>
      </c>
      <c r="I53" s="42"/>
      <c r="J53" s="42"/>
    </row>
    <row r="54" spans="1:10" s="1" customFormat="1" ht="44.25" customHeight="1">
      <c r="A54" s="25" t="s">
        <v>389</v>
      </c>
      <c r="B54" s="24" t="str">
        <f>VLOOKUP($A54,Questions!$A$2:$X$333,2,0)</f>
        <v>Does the process described in DATA-15 adhere to DoD 5220.22-M and/or NIST SP 800-88 standards?</v>
      </c>
      <c r="C54" s="27" t="s">
        <v>1652</v>
      </c>
      <c r="D54" s="364" t="s">
        <v>1707</v>
      </c>
      <c r="E54" s="174" t="str">
        <f>IF($C$18="No",'Auto Responses'!$A$3,IF($C54="Yes",VLOOKUP($A54,Questions!$A$2:$X$333,17,0)&amp;"",IF($C54="No",VLOOKUP($A54,Questions!$A$2:$X$333,16,0)&amp;"",VLOOKUP($A54,Questions!$A$2:$X$333,15,0)&amp;"")))</f>
        <v/>
      </c>
      <c r="F54" s="208" t="str">
        <f>VLOOKUP($A54,'Institution Evaluation'!$A$56:$F$346,6,0)&amp;""</f>
        <v/>
      </c>
      <c r="I54" s="42"/>
      <c r="J54" s="42"/>
    </row>
    <row r="55" spans="1:10" s="1" customFormat="1" ht="46.5" customHeight="1">
      <c r="A55" s="25" t="s">
        <v>393</v>
      </c>
      <c r="B55" s="24" t="str">
        <f>VLOOKUP($A55,Questions!$A$2:$X$333,2,0)</f>
        <v>Does your staff (or third party) have access to institutional data (e.g., financial, PHI, or other sensitive information) through any means?</v>
      </c>
      <c r="C55" s="27" t="s">
        <v>1654</v>
      </c>
      <c r="D55" s="333"/>
      <c r="E55" s="174" t="str">
        <f>IF($C$18="No",'Auto Responses'!$A$3,IF($C55="Yes",VLOOKUP($A55,Questions!$A$2:$X$333,17,0)&amp;"",IF($C55="No",VLOOKUP($A55,Questions!$A$2:$X$333,16,0)&amp;"",VLOOKUP($A55,Questions!$A$2:$X$333,15,0)&amp;"")))</f>
        <v/>
      </c>
      <c r="F55" s="208" t="str">
        <f>VLOOKUP($A55,'Institution Evaluation'!$A$56:$F$346,6,0)&amp;""</f>
        <v/>
      </c>
      <c r="I55" s="42"/>
      <c r="J55" s="42"/>
    </row>
    <row r="56" spans="1:10" s="1" customFormat="1" ht="67.5" customHeight="1">
      <c r="A56" s="25" t="s">
        <v>399</v>
      </c>
      <c r="B56" s="24" t="str">
        <f>VLOOKUP($A56,Questions!$A$2:$X$333,2,0)</f>
        <v>Do you have a documented and currently implemented strategy for securing employee workstations when they work remotely (i.e., not in a trusted computing environment)?</v>
      </c>
      <c r="C56" s="27" t="s">
        <v>1652</v>
      </c>
      <c r="D56" s="367" t="s">
        <v>1760</v>
      </c>
      <c r="E56" s="174" t="str">
        <f>IF($C$18="No",'Auto Responses'!$A$3,IF($C56="Yes",VLOOKUP($A56,Questions!$A$2:$X$333,17,0)&amp;"",IF($C56="No",VLOOKUP($A56,Questions!$A$2:$X$333,16,0)&amp;"",VLOOKUP($A56,Questions!$A$2:$X$333,15,0)&amp;"")))</f>
        <v>Provide a detailed summary outlining the security controls implemented to protect the institution's data.</v>
      </c>
      <c r="F56" s="208" t="str">
        <f>VLOOKUP($A56,'Institution Evaluation'!$A$56:$F$346,6,0)&amp;""</f>
        <v/>
      </c>
      <c r="I56" s="42"/>
      <c r="J56" s="42"/>
    </row>
    <row r="57" spans="1:10" s="1" customFormat="1" ht="68.25" customHeight="1">
      <c r="A57" s="25" t="s">
        <v>401</v>
      </c>
      <c r="B57" s="24" t="str">
        <f>VLOOKUP($A57,Questions!$A$2:$X$333,2,0)</f>
        <v>Does the environment provide for dedicated single-tenant capabilities? If not, describe how your solution or environment separates data from different customers (e.g., logically, physically, single tenancy, multi-tenancy).</v>
      </c>
      <c r="C57" s="27" t="s">
        <v>1652</v>
      </c>
      <c r="D57" s="333" t="s">
        <v>1664</v>
      </c>
      <c r="E57" s="174" t="str">
        <f>IF($C$18="No",'Auto Responses'!$A$3,IF($C57="Yes",VLOOKUP($A57,Questions!$A$2:$X$333,17,0)&amp;"",IF($C57="No",VLOOKUP($A57,Questions!$A$2:$X$333,16,0)&amp;"",VLOOKUP($A57,Questions!$A$2:$X$333,15,0)&amp;"")))</f>
        <v>Describe or provide a reference to how institution data is separated from that of other customers.</v>
      </c>
      <c r="F57" s="208" t="str">
        <f>VLOOKUP($A57,'Institution Evaluation'!$A$56:$F$346,6,0)&amp;""</f>
        <v/>
      </c>
      <c r="I57" s="42"/>
      <c r="J57" s="42"/>
    </row>
    <row r="58" spans="1:10" s="1" customFormat="1" ht="55.5" customHeight="1">
      <c r="A58" s="25" t="s">
        <v>406</v>
      </c>
      <c r="B58" s="24" t="str">
        <f>VLOOKUP($A58,Questions!$A$2:$X$333,2,0)</f>
        <v>Are ownership rights to all data, inputs, outputs, and metadata retained by the institution?</v>
      </c>
      <c r="C58" s="27" t="s">
        <v>1652</v>
      </c>
      <c r="D58" s="333" t="s">
        <v>1663</v>
      </c>
      <c r="E58" s="174" t="str">
        <f>IF($C$18="No",'Auto Responses'!$A$3,IF($C58="Yes",VLOOKUP($A58,Questions!$A$2:$X$333,17,0)&amp;"",IF($C58="No",VLOOKUP($A58,Questions!$A$2:$X$333,16,0)&amp;"",VLOOKUP($A58,Questions!$A$2:$X$333,15,0)&amp;"")))</f>
        <v>Provide reference to your data ownership documention.</v>
      </c>
      <c r="F58" s="208" t="str">
        <f>VLOOKUP($A58,'Institution Evaluation'!$A$56:$F$346,6,0)&amp;""</f>
        <v/>
      </c>
      <c r="I58" s="42"/>
      <c r="J58" s="42"/>
    </row>
    <row r="59" spans="1:10" s="1" customFormat="1" ht="45.75" customHeight="1">
      <c r="A59" s="25" t="s">
        <v>409</v>
      </c>
      <c r="B59" s="24" t="str">
        <f>VLOOKUP($A59,Questions!$A$2:$X$333,2,0)</f>
        <v>In the event of imminent bankruptcy, closing of business, or retirement of service, will you provide 90 days for customers to get their data out of the system and migrate applications?</v>
      </c>
      <c r="C59" s="27" t="s">
        <v>1652</v>
      </c>
      <c r="D59" s="333" t="s">
        <v>1662</v>
      </c>
      <c r="E59" s="174" t="str">
        <f>IF($C$18="No",'Auto Responses'!$A$3,IF($C59="Yes",VLOOKUP($A59,Questions!$A$2:$X$333,17,0)&amp;"",IF($C59="No",VLOOKUP($A59,Questions!$A$2:$X$333,16,0)&amp;"",VLOOKUP($A59,Questions!$A$2:$X$333,15,0)&amp;"")))</f>
        <v>State how the institution will be notified of imminent termination.</v>
      </c>
      <c r="F59" s="208" t="str">
        <f>VLOOKUP($A59,'Institution Evaluation'!$A$56:$F$346,6,0)&amp;""</f>
        <v/>
      </c>
      <c r="I59" s="42"/>
      <c r="J59" s="42"/>
    </row>
    <row r="60" spans="1:10" s="1" customFormat="1" ht="54" customHeight="1">
      <c r="A60" s="25" t="s">
        <v>412</v>
      </c>
      <c r="B60" s="24" t="str">
        <f>VLOOKUP($A60,Questions!$A$2:$X$333,2,0)</f>
        <v>Are involatile backup copies made according to predefined schedules and securely stored and protected?</v>
      </c>
      <c r="C60" s="27" t="s">
        <v>1652</v>
      </c>
      <c r="D60" s="364" t="s">
        <v>1686</v>
      </c>
      <c r="E60" s="174" t="str">
        <f>IF($C$18="No",'Auto Responses'!$A$3,IF($C60="Yes",VLOOKUP($A60,Questions!$A$2:$X$333,17,0)&amp;"",IF($C60="No",VLOOKUP($A60,Questions!$A$2:$X$333,16,0)&amp;"",VLOOKUP($A60,Questions!$A$2:$X$333,15,0)&amp;"")))</f>
        <v>If your strategy uses different processes for services and data, ensure that all strategies are clearly stated and supported.</v>
      </c>
      <c r="F60" s="208" t="str">
        <f>VLOOKUP($A60,'Institution Evaluation'!$A$56:$F$346,6,0)&amp;""</f>
        <v/>
      </c>
      <c r="I60" s="42"/>
      <c r="J60" s="42"/>
    </row>
    <row r="61" spans="1:10" s="1" customFormat="1" ht="76.5" customHeight="1">
      <c r="A61" s="25" t="s">
        <v>416</v>
      </c>
      <c r="B61" s="24" t="str">
        <f>VLOOKUP($A61,Questions!$A$2:$X$333,2,0)</f>
        <v>Do you have a cryptographic key management process (generation, exchange, storage, safeguards, use, vetting, and replacement) that is documented and currently implemented, for all system components (e.g., database, system, web, etc.)?</v>
      </c>
      <c r="C61" s="27" t="s">
        <v>1652</v>
      </c>
      <c r="D61" s="367" t="s">
        <v>1760</v>
      </c>
      <c r="E61" s="174" t="str">
        <f>IF($C$18="No",'Auto Responses'!$A$3,IF($C61="Yes",VLOOKUP($A61,Questions!$A$2:$X$333,17,0)&amp;"",IF($C61="No",VLOOKUP($A61,Questions!$A$2:$X$333,16,0)&amp;"",VLOOKUP($A61,Questions!$A$2:$X$333,15,0)&amp;"")))</f>
        <v/>
      </c>
      <c r="F61" s="208" t="str">
        <f>VLOOKUP($A61,'Institution Evaluation'!$A$56:$F$346,6,0)&amp;""</f>
        <v/>
      </c>
      <c r="G61" s="255" t="s">
        <v>1531</v>
      </c>
      <c r="I61" s="42"/>
      <c r="J61" s="42"/>
    </row>
    <row r="62" spans="1:10" s="178" customFormat="1" ht="36.75" customHeight="1">
      <c r="A62" s="285" t="s">
        <v>1593</v>
      </c>
      <c r="B62" s="271"/>
      <c r="C62" s="272"/>
      <c r="D62" s="334"/>
      <c r="E62" s="274"/>
      <c r="F62" s="275"/>
      <c r="G62" s="276"/>
      <c r="I62" s="179"/>
      <c r="J62" s="179"/>
    </row>
    <row r="63" spans="1:10" s="1" customFormat="1" ht="15" customHeight="1">
      <c r="A63" s="284"/>
      <c r="C63" s="14"/>
      <c r="D63" s="15"/>
      <c r="E63" s="16"/>
      <c r="I63" s="42"/>
      <c r="J63" s="42"/>
    </row>
    <row r="64" spans="1:10" s="1" customFormat="1" ht="15" hidden="1" customHeight="1">
      <c r="A64"/>
      <c r="C64" s="14"/>
      <c r="D64" s="15"/>
      <c r="E64" s="16"/>
      <c r="I64" s="42"/>
      <c r="J64" s="42"/>
    </row>
    <row r="65" spans="1:12" ht="15" hidden="1" customHeight="1">
      <c r="A65" s="1"/>
      <c r="B65" s="14"/>
      <c r="C65" s="78"/>
      <c r="D65" s="16"/>
      <c r="E65" s="1"/>
      <c r="H65" s="42"/>
      <c r="I65" s="1"/>
      <c r="J65" s="1"/>
      <c r="L65"/>
    </row>
    <row r="66" spans="1:12" ht="57" hidden="1" customHeight="1">
      <c r="A66" s="25" t="e">
        <f>#REF!</f>
        <v>#REF!</v>
      </c>
    </row>
    <row r="67" spans="1:12" ht="42.75" hidden="1" customHeight="1">
      <c r="A67" s="25" t="e">
        <f>#REF!</f>
        <v>#REF!</v>
      </c>
    </row>
    <row r="68" spans="1:12" ht="15" hidden="1" customHeight="1">
      <c r="A68" s="25" t="e">
        <f>#REF!</f>
        <v>#REF!</v>
      </c>
    </row>
    <row r="69" spans="1:12" ht="15" hidden="1" customHeight="1">
      <c r="A69" s="25" t="e">
        <f>#REF!</f>
        <v>#REF!</v>
      </c>
    </row>
    <row r="70" spans="1:12" ht="15" hidden="1" customHeight="1">
      <c r="A70" s="25" t="e">
        <f>#REF!</f>
        <v>#REF!</v>
      </c>
    </row>
    <row r="71" spans="1:12" ht="15" hidden="1" customHeight="1">
      <c r="A71" s="25" t="e">
        <f>#REF!</f>
        <v>#REF!</v>
      </c>
    </row>
    <row r="72" spans="1:12" ht="15" hidden="1" customHeight="1">
      <c r="A72" s="25" t="e">
        <f>#REF!</f>
        <v>#REF!</v>
      </c>
    </row>
    <row r="73" spans="1:12" ht="15" hidden="1" customHeight="1"/>
    <row r="74" spans="1:12" ht="15" hidden="1" customHeight="1"/>
    <row r="75" spans="1:12" ht="15" hidden="1" customHeight="1"/>
    <row r="76" spans="1:12" ht="15" hidden="1" customHeight="1"/>
    <row r="77" spans="1:12" ht="15" hidden="1" customHeight="1"/>
    <row r="78" spans="1:12" ht="15" hidden="1" customHeight="1"/>
    <row r="79" spans="1:12" ht="15" hidden="1" customHeight="1"/>
    <row r="80" spans="1:12" ht="15" hidden="1" customHeight="1"/>
    <row r="81" ht="15" hidden="1" customHeight="1"/>
    <row r="82" ht="15" hidden="1" customHeight="1"/>
    <row r="83" ht="15" hidden="1" customHeight="1"/>
    <row r="84" ht="15" hidden="1" customHeight="1"/>
    <row r="85" ht="15" hidden="1" customHeight="1"/>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ignoredErrors>
    <ignoredError sqref="E3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093D72B-46CA-40A8-B0D5-8700FB88AD9A}">
          <x14:formula1>
            <xm:f>'Auto Responses'!$J$3:$J$4</xm:f>
          </x14:formula1>
          <xm:sqref>C30:C37 C39:C62 C20:C28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66" zoomScale="80" zoomScaleNormal="80" workbookViewId="0">
      <selection activeCell="D32" sqref="D32"/>
    </sheetView>
  </sheetViews>
  <sheetFormatPr baseColWidth="10" defaultColWidth="0" defaultRowHeight="0" customHeight="1" zeroHeight="1"/>
  <cols>
    <col min="1" max="1" width="8.25" style="30" customWidth="1"/>
    <col min="2" max="2" width="55.125" style="1" customWidth="1"/>
    <col min="3" max="3" width="18.875" style="14" customWidth="1"/>
    <col min="4" max="4" width="55.75" style="15" customWidth="1"/>
    <col min="5" max="5" width="32" style="16" customWidth="1"/>
    <col min="6" max="6" width="30.75"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style="30" hidden="1"/>
  </cols>
  <sheetData>
    <row r="1" spans="1:12" ht="0" hidden="1" customHeight="1">
      <c r="A1" s="30" t="s">
        <v>1530</v>
      </c>
    </row>
    <row r="2" spans="1:12" customFormat="1" ht="36" customHeight="1">
      <c r="A2" s="175" t="s">
        <v>1454</v>
      </c>
      <c r="B2" s="175"/>
      <c r="C2" s="176"/>
      <c r="D2" s="328"/>
      <c r="E2" s="177"/>
      <c r="F2" s="177" t="str">
        <f>'Auto Responses'!$A$36</f>
        <v>Version 4.1.0</v>
      </c>
      <c r="G2" s="1"/>
      <c r="H2" s="1"/>
      <c r="I2" s="42"/>
      <c r="J2" s="1"/>
      <c r="K2" s="1"/>
      <c r="L2" s="1"/>
    </row>
    <row r="3" spans="1:12" s="1" customFormat="1" ht="29" customHeight="1">
      <c r="A3" s="44" t="s">
        <v>996</v>
      </c>
      <c r="B3" s="45"/>
      <c r="C3" s="73">
        <f>'START HERE'!$C$3</f>
        <v>46216</v>
      </c>
      <c r="D3" s="329"/>
      <c r="E3" s="43"/>
      <c r="F3" s="57"/>
      <c r="I3" s="42"/>
    </row>
    <row r="4" spans="1:12" s="1" customFormat="1" ht="36" customHeight="1">
      <c r="A4" s="17" t="s">
        <v>921</v>
      </c>
      <c r="B4" s="18"/>
      <c r="C4" s="19"/>
      <c r="D4" s="20"/>
      <c r="E4" s="21"/>
      <c r="F4" s="21"/>
      <c r="I4" s="42"/>
    </row>
    <row r="5" spans="1:12" s="1" customFormat="1" ht="19.5" customHeight="1">
      <c r="A5" s="49" t="str">
        <f>HLOOKUP($A$4,'Auto Responses'!$D$2:$D$8,2,0)&amp;""</f>
        <v>1. Complete the "Start Here" tab and review the "Required Questions" guidance to find the other sections are required for your product or service.</v>
      </c>
      <c r="B5" s="22"/>
      <c r="C5" s="74"/>
      <c r="D5" s="330"/>
      <c r="E5" s="22"/>
      <c r="F5" s="279"/>
      <c r="I5" s="42"/>
    </row>
    <row r="6" spans="1:12" s="1" customFormat="1" ht="19.5" customHeight="1">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2" s="1" customFormat="1" ht="19.5" customHeight="1">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2" s="1" customFormat="1" ht="19.5" customHeight="1">
      <c r="A8" s="49" t="str">
        <f>HLOOKUP($A$4,'Auto Responses'!$D$2:$D$8,5,0)&amp;""</f>
        <v>4. DO NOT complete any fields in the "Evaluation" sheets or the "Analyst Notes" column.</v>
      </c>
      <c r="B8" s="22"/>
      <c r="C8" s="74"/>
      <c r="D8" s="330"/>
      <c r="E8" s="22"/>
      <c r="F8" s="280"/>
      <c r="I8" s="42"/>
    </row>
    <row r="9" spans="1:12" s="1" customFormat="1" ht="19.5" customHeight="1">
      <c r="A9" s="49" t="str">
        <f>HLOOKUP($A$4,'Auto Responses'!$D$2:$D$8,6,0)&amp;""</f>
        <v>5. Return the completed file to institutions.</v>
      </c>
      <c r="B9" s="22"/>
      <c r="C9" s="74"/>
      <c r="D9" s="330"/>
      <c r="E9" s="22"/>
      <c r="F9" s="280"/>
      <c r="I9" s="42"/>
    </row>
    <row r="10" spans="1:12" s="1" customFormat="1" ht="19.5" customHeight="1">
      <c r="A10" s="265" t="str">
        <f>HLOOKUP($A$4,'Auto Responses'!$D$2:$D$8,7,0)&amp;""</f>
        <v>* Denotes critical questions. Critical questions are those deemed most important to institutions by higher education volunteers.</v>
      </c>
      <c r="B10" s="22"/>
      <c r="C10" s="74"/>
      <c r="D10" s="330"/>
      <c r="E10" s="22"/>
      <c r="F10" s="280"/>
      <c r="I10" s="42"/>
    </row>
    <row r="11" spans="1:12" s="1" customFormat="1" ht="19.5" customHeight="1">
      <c r="A11" s="264" t="str">
        <f>HLOOKUP($A$4,'Auto Responses'!$D$2:$D$9,8,0)&amp;""</f>
        <v>For full instructions, please visit educause.edu/HECVAT</v>
      </c>
      <c r="B11" s="22"/>
      <c r="C11" s="74"/>
      <c r="D11" s="330"/>
      <c r="E11" s="22"/>
      <c r="F11" s="281"/>
      <c r="I11" s="42"/>
    </row>
    <row r="12" spans="1:12" s="1" customFormat="1" ht="36" customHeight="1">
      <c r="A12" s="70" t="str">
        <f>VLOOKUP(LEFT($A13,4),'Auto Responses'!$N$4:$O$38,2,0)&amp;""</f>
        <v xml:space="preserve"> General Information</v>
      </c>
      <c r="B12" s="18"/>
      <c r="C12" s="19" t="s">
        <v>1583</v>
      </c>
      <c r="D12" s="331"/>
      <c r="E12" s="23"/>
      <c r="F12" s="23"/>
      <c r="I12" s="42"/>
      <c r="J12" s="42"/>
    </row>
    <row r="13" spans="1:12" s="1" customFormat="1" ht="22.25" customHeight="1">
      <c r="A13" s="25" t="s">
        <v>21</v>
      </c>
      <c r="B13" s="26" t="str">
        <f>VLOOKUP($A13,Questions!$A$2:$X$333,2,0)&amp;""</f>
        <v>Solution Provider Name</v>
      </c>
      <c r="C13" s="83" t="str">
        <f>VLOOKUP($A13,'START HERE'!$A$13:$C$21,3,0)&amp;""</f>
        <v>America's Software Corporation</v>
      </c>
      <c r="D13" s="39"/>
      <c r="E13" s="39"/>
      <c r="F13" s="57"/>
      <c r="I13" s="42"/>
      <c r="J13" s="42"/>
    </row>
    <row r="14" spans="1:12" s="1" customFormat="1" ht="22.25" customHeight="1">
      <c r="A14" s="25" t="s">
        <v>24</v>
      </c>
      <c r="B14" s="26" t="str">
        <f>VLOOKUP($A14,Questions!$A$2:$X$333,2,0)&amp;""</f>
        <v>Solution Name</v>
      </c>
      <c r="C14" s="83" t="str">
        <f>VLOOKUP($A14,'START HERE'!$A$13:$C$21,3,0)&amp;""</f>
        <v>TalEval, Discovery Pro</v>
      </c>
      <c r="D14" s="39"/>
      <c r="E14" s="39"/>
      <c r="F14" s="57"/>
      <c r="I14" s="42"/>
      <c r="J14" s="42"/>
    </row>
    <row r="15" spans="1:12" s="1" customFormat="1" ht="22.25" customHeight="1">
      <c r="A15" s="25" t="s">
        <v>25</v>
      </c>
      <c r="B15" s="26" t="str">
        <f>VLOOKUP($A15,Questions!$A$2:$X$333,2,0)&amp;""</f>
        <v>Solution Description</v>
      </c>
      <c r="C15" s="83" t="str">
        <f>VLOOKUP($A15,'START HERE'!$A$13:$C$21,3,0)&amp;""</f>
        <v>Dental Hygiene/COS Student  Tracking</v>
      </c>
      <c r="D15" s="39"/>
      <c r="E15" s="39"/>
      <c r="F15" s="57"/>
      <c r="I15" s="42"/>
      <c r="J15" s="42"/>
    </row>
    <row r="16" spans="1:12" s="1" customFormat="1" ht="22.25" customHeight="1" thickBot="1">
      <c r="A16" s="25" t="s">
        <v>30</v>
      </c>
      <c r="B16" s="26" t="str">
        <f>VLOOKUP($A16,Questions!$A$2:$X$333,2,0)&amp;""</f>
        <v>Country of Company Headquarters</v>
      </c>
      <c r="C16" s="83" t="str">
        <f>VLOOKUP($A16,'START HERE'!$A$13:$C$21,3,0)&amp;""</f>
        <v>USA</v>
      </c>
      <c r="D16" s="39"/>
      <c r="E16" s="39"/>
      <c r="F16" s="57"/>
      <c r="I16" s="42"/>
      <c r="J16" s="42"/>
    </row>
    <row r="17" spans="1:10" s="1" customFormat="1" ht="37.25" customHeight="1" thickBot="1">
      <c r="A17" s="70" t="str">
        <f>VLOOKUP(LEFT($A18,4),'Auto Responses'!$N$4:$O$38,2,0)&amp;""</f>
        <v xml:space="preserve"> Required Questions</v>
      </c>
      <c r="B17" s="29"/>
      <c r="C17" s="19" t="s">
        <v>1583</v>
      </c>
      <c r="D17" s="19"/>
      <c r="E17" s="38" t="s">
        <v>904</v>
      </c>
      <c r="F17" s="194" t="s">
        <v>905</v>
      </c>
      <c r="I17" s="42"/>
      <c r="J17" s="42"/>
    </row>
    <row r="18" spans="1:10" s="1" customFormat="1" ht="38.25" customHeight="1" thickBot="1">
      <c r="A18" s="25" t="s">
        <v>48</v>
      </c>
      <c r="B18" s="24" t="str">
        <f>VLOOKUP($A18,Questions!$A$2:$X$333,2,0)</f>
        <v>Are you offering either a product or platform, as opposed to only offering a service</v>
      </c>
      <c r="C18" s="80" t="str">
        <f>VLOOKUP($A18,'START HERE'!$A$23:$F$36,3,0)&amp;""</f>
        <v>Yes</v>
      </c>
      <c r="D18" s="335" t="str">
        <f>VLOOKUP($A18,'START HERE'!$A$23:$F$36,4,0)&amp;""</f>
        <v>America’s Software Corporation provides web-based software products (TalEval and Discovery Pro) that institutions license and access via login. These are cloud-hosted applications, not a service-only offering</v>
      </c>
      <c r="E18" s="174" t="str">
        <f>IF($C18="Yes",VLOOKUP($A18,Questions!$A$2:$X$333,17,0)&amp;"",IF($C18="No",VLOOKUP($A18,Questions!$A$2:$X$333,16,0)&amp;"",VLOOKUP($A18,Questions!$A$2:$X$333,15,0)&amp;""))</f>
        <v>DO complete the Product and Infrastructure worksheets</v>
      </c>
      <c r="F18" s="208" t="str">
        <f>VLOOKUP($A18,'Institution Evaluation'!$A$56:$F$346,6,0)&amp;""</f>
        <v/>
      </c>
      <c r="G18" s="255" t="s">
        <v>1531</v>
      </c>
      <c r="I18" s="42"/>
      <c r="J18" s="42"/>
    </row>
    <row r="19" spans="1:10" s="1" customFormat="1" ht="37.25" customHeight="1" thickBot="1">
      <c r="A19" s="70" t="str">
        <f>VLOOKUP(LEFT($A20,4),'Auto Responses'!$N$4:$O$38,2,0)&amp;""</f>
        <v xml:space="preserve"> Application/Service Security</v>
      </c>
      <c r="B19" s="29"/>
      <c r="C19" s="19" t="s">
        <v>1583</v>
      </c>
      <c r="D19" s="19" t="s">
        <v>72</v>
      </c>
      <c r="E19" s="38" t="s">
        <v>904</v>
      </c>
      <c r="F19" s="194" t="s">
        <v>905</v>
      </c>
      <c r="I19" s="42"/>
      <c r="J19" s="42"/>
    </row>
    <row r="20" spans="1:10" s="1" customFormat="1" ht="97.5" customHeight="1">
      <c r="A20" s="25" t="s">
        <v>164</v>
      </c>
      <c r="B20" s="24" t="str">
        <f>VLOOKUP($A20,Questions!$A$2:$X$333,2,0)</f>
        <v>Are access controls for institutional accounts based on structured rules, such as role-based access control (RBAC), attribute-based access control (ABAC), or policy-based access control (PBAC)?*</v>
      </c>
      <c r="C20" s="27" t="s">
        <v>1652</v>
      </c>
      <c r="D20" s="363" t="s">
        <v>1760</v>
      </c>
      <c r="E20" s="174" t="str">
        <f>IF($C$18="No",'Auto Responses'!$A$3,IF($C20="Yes",VLOOKUP($A20,Questions!$A$2:$X$333,17,0)&amp;"",IF($C20="No",VLOOKUP($A20,Questions!$A$2:$X$333,16,0)&amp;"",VLOOKUP($A20,Questions!$A$2:$X$333,15,0)&amp;"")))</f>
        <v>Describe available roles.</v>
      </c>
      <c r="F20" s="208" t="str">
        <f>VLOOKUP($A20,'Institution Evaluation'!$A$56:$F$346,6,0)&amp;""</f>
        <v/>
      </c>
      <c r="I20" s="42"/>
      <c r="J20" s="42"/>
    </row>
    <row r="21" spans="1:10" s="1" customFormat="1" ht="120.75" customHeight="1">
      <c r="A21" s="25" t="s">
        <v>169</v>
      </c>
      <c r="B21" s="24" t="str">
        <f>VLOOKUP($A21,Questions!$A$2:$X$333,2,0)</f>
        <v>Are you using a web application firewall (WAF)?*</v>
      </c>
      <c r="C21" s="27" t="s">
        <v>1652</v>
      </c>
      <c r="D21" s="363" t="s">
        <v>1760</v>
      </c>
      <c r="E21" s="174" t="str">
        <f>IF($C$18="No",'Auto Responses'!$A$3,IF($C21="Yes",VLOOKUP($A21,Questions!$A$2:$X$333,17,0)&amp;"",IF($C21="No",VLOOKUP($A21,Questions!$A$2:$X$333,16,0)&amp;"",VLOOKUP($A21,Questions!$A$2:$X$333,15,0)&amp;"")))</f>
        <v>Describe the currently implemented WAF.</v>
      </c>
      <c r="F21" s="208" t="str">
        <f>VLOOKUP($A21,'Institution Evaluation'!$A$56:$F$346,6,0)&amp;""</f>
        <v/>
      </c>
      <c r="I21" s="42"/>
      <c r="J21" s="42"/>
    </row>
    <row r="22" spans="1:10" s="1" customFormat="1" ht="66.75" customHeight="1">
      <c r="A22" s="25" t="s">
        <v>173</v>
      </c>
      <c r="B22" s="24" t="str">
        <f>VLOOKUP($A22,Questions!$A$2:$X$333,2,0)</f>
        <v>Are only currently supported operating system(s), software, and libraries leveraged by the system(s)/application(s) that will have access to institution's data?*</v>
      </c>
      <c r="C22" s="27" t="s">
        <v>1652</v>
      </c>
      <c r="D22" s="364" t="s">
        <v>1708</v>
      </c>
      <c r="E22" s="174" t="str">
        <f>IF($C$18="No",'Auto Responses'!$A$3,IF($C22="Yes",VLOOKUP($A22,Questions!$A$2:$X$333,17,0)&amp;"",IF($C22="No",VLOOKUP($A22,Questions!$A$2:$X$333,16,0)&amp;"",VLOOKUP($A22,Questions!$A$2:$X$333,15,0)&amp;"")))</f>
        <v>Please provide a list of all required dependencies.</v>
      </c>
      <c r="F22" s="208" t="str">
        <f>VLOOKUP($A22,'Institution Evaluation'!$A$56:$F$346,6,0)&amp;""</f>
        <v/>
      </c>
      <c r="I22" s="42"/>
      <c r="J22" s="42"/>
    </row>
    <row r="23" spans="1:10" s="1" customFormat="1" ht="38.25" customHeight="1">
      <c r="A23" s="25" t="s">
        <v>178</v>
      </c>
      <c r="B23" s="24" t="str">
        <f>VLOOKUP($A23,Questions!$A$2:$X$333,2,0)</f>
        <v>Does your application require access to location or GPS data?</v>
      </c>
      <c r="C23" s="27" t="s">
        <v>1654</v>
      </c>
      <c r="D23" s="363"/>
      <c r="E23" s="174" t="str">
        <f>IF($C$18="No",'Auto Responses'!$A$3,IF($C23="Yes",VLOOKUP($A23,Questions!$A$2:$X$333,17,0)&amp;"",IF($C23="No",VLOOKUP($A23,Questions!$A$2:$X$333,16,0)&amp;"",VLOOKUP($A23,Questions!$A$2:$X$333,15,0)&amp;"")))</f>
        <v>Please indicate any future plans that would require access to this data</v>
      </c>
      <c r="F23" s="208" t="str">
        <f>VLOOKUP($A23,'Institution Evaluation'!$A$56:$F$346,6,0)&amp;""</f>
        <v/>
      </c>
      <c r="I23" s="42"/>
      <c r="J23" s="42"/>
    </row>
    <row r="24" spans="1:10" s="1" customFormat="1" ht="50.25" customHeight="1">
      <c r="A24" s="25" t="s">
        <v>181</v>
      </c>
      <c r="B24" s="24" t="str">
        <f>VLOOKUP($A24,Questions!$A$2:$X$333,2,0)</f>
        <v>Does your application provide separation of duties between security administration, system administration, and standard user functions?*</v>
      </c>
      <c r="C24" s="27" t="s">
        <v>1652</v>
      </c>
      <c r="D24" s="364" t="s">
        <v>1709</v>
      </c>
      <c r="E24" s="174" t="str">
        <f>IF($C$18="No",'Auto Responses'!$A$3,IF($C24="Yes",VLOOKUP($A24,Questions!$A$2:$X$333,17,0)&amp;"",IF($C24="No",VLOOKUP($A24,Questions!$A$2:$X$333,16,0)&amp;"",VLOOKUP($A24,Questions!$A$2:$X$333,15,0)&amp;"")))</f>
        <v>Describe or provide a reference to the facilities available in the system to provide separation of duties between security administration and system administration functions.</v>
      </c>
      <c r="F24" s="208" t="str">
        <f>VLOOKUP($A24,'Institution Evaluation'!$A$56:$F$346,6,0)&amp;""</f>
        <v/>
      </c>
      <c r="I24" s="42"/>
      <c r="J24" s="42"/>
    </row>
    <row r="25" spans="1:10" s="1" customFormat="1" ht="57.75" customHeight="1">
      <c r="A25" s="25" t="s">
        <v>186</v>
      </c>
      <c r="B25" s="24" t="str">
        <f>VLOOKUP($A25,Questions!$A$2:$X$333,2,0)</f>
        <v>Do you subject your code to static code analysis and/or static application security testing prior to release?*</v>
      </c>
      <c r="C25" s="27" t="s">
        <v>1652</v>
      </c>
      <c r="D25" s="336" t="s">
        <v>1782</v>
      </c>
      <c r="E25" s="174" t="str">
        <f>IF($C$18="No",'Auto Responses'!$A$3,IF($C25="Yes",VLOOKUP($A25,Questions!$A$2:$X$333,17,0)&amp;"",IF($C25="No",VLOOKUP($A25,Questions!$A$2:$X$333,16,0)&amp;"",VLOOKUP($A25,Questions!$A$2:$X$333,15,0)&amp;"")))</f>
        <v>Provide a list of all tools utilized during static code analysis or static application security testing.</v>
      </c>
      <c r="F25" s="208" t="str">
        <f>VLOOKUP($A25,'Institution Evaluation'!$A$56:$F$346,6,0)&amp;""</f>
        <v/>
      </c>
      <c r="I25" s="42"/>
      <c r="J25" s="42"/>
    </row>
    <row r="26" spans="1:10" s="1" customFormat="1" ht="38.25" customHeight="1">
      <c r="A26" s="25" t="s">
        <v>190</v>
      </c>
      <c r="B26" s="24" t="str">
        <f>VLOOKUP($A26,Questions!$A$2:$X$333,2,0)</f>
        <v>Do you have software testing processes (dynamic or static) that are established and followed?*</v>
      </c>
      <c r="C26" s="27" t="s">
        <v>1652</v>
      </c>
      <c r="D26" s="336" t="s">
        <v>1783</v>
      </c>
      <c r="E26" s="174" t="str">
        <f>IF($C$18="No",'Auto Responses'!$A$3,IF($C26="Yes",VLOOKUP($A26,Questions!$A$2:$X$333,17,0)&amp;"",IF($C26="No",VLOOKUP($A26,Questions!$A$2:$X$333,16,0)&amp;"",VLOOKUP($A26,Questions!$A$2:$X$333,15,0)&amp;"")))</f>
        <v>Describe testing processes, including but not limited to, development of test plans, personnel involved in the testing process, and authorized individual accountable for approval and certification of test results.</v>
      </c>
      <c r="F26" s="208" t="str">
        <f>VLOOKUP($A26,'Institution Evaluation'!$A$56:$F$346,6,0)&amp;""</f>
        <v/>
      </c>
      <c r="I26" s="42"/>
      <c r="J26" s="42"/>
    </row>
    <row r="27" spans="1:10" s="1" customFormat="1" ht="111" customHeight="1">
      <c r="A27" s="25" t="s">
        <v>196</v>
      </c>
      <c r="B27" s="24" t="str">
        <f>VLOOKUP($A27,Questions!$A$2:$X$333,2,0)</f>
        <v>Are access controls for staff within your organization based on structured rules, such as RBAC, ABAC, or PBAC?</v>
      </c>
      <c r="C27" s="27" t="s">
        <v>1652</v>
      </c>
      <c r="D27" s="364" t="s">
        <v>1710</v>
      </c>
      <c r="E27" s="174" t="str">
        <f>IF($C$18="No",'Auto Responses'!$A$3,IF($C27="Yes",VLOOKUP($A27,Questions!$A$2:$X$333,17,0)&amp;"",IF($C27="No",VLOOKUP($A27,Questions!$A$2:$X$333,16,0)&amp;"",VLOOKUP($A27,Questions!$A$2:$X$333,15,0)&amp;"")))</f>
        <v/>
      </c>
      <c r="F27" s="208" t="str">
        <f>VLOOKUP($A27,'Institution Evaluation'!$A$56:$F$346,6,0)&amp;""</f>
        <v/>
      </c>
      <c r="I27" s="42"/>
      <c r="J27" s="42"/>
    </row>
    <row r="28" spans="1:10" s="1" customFormat="1" ht="38.25" customHeight="1">
      <c r="A28" s="25" t="s">
        <v>201</v>
      </c>
      <c r="B28" s="24" t="str">
        <f>VLOOKUP($A28,Questions!$A$2:$X$333,2,0)</f>
        <v>Does the system provide data input validation and error messages?</v>
      </c>
      <c r="C28" s="27" t="s">
        <v>1652</v>
      </c>
      <c r="D28" s="336" t="s">
        <v>1711</v>
      </c>
      <c r="E28" s="174" t="str">
        <f>IF($C$18="No",'Auto Responses'!$A$3,IF($C28="Yes",VLOOKUP($A28,Questions!$A$2:$X$333,17,0)&amp;"",IF($C28="No",VLOOKUP($A28,Questions!$A$2:$X$333,16,0)&amp;"",VLOOKUP($A28,Questions!$A$2:$X$333,15,0)&amp;"")))</f>
        <v>Describe how your system(s) provide data input validation and error messages.</v>
      </c>
      <c r="F28" s="208" t="str">
        <f>VLOOKUP($A28,'Institution Evaluation'!$A$56:$F$346,6,0)&amp;""</f>
        <v/>
      </c>
      <c r="I28" s="42"/>
      <c r="J28" s="42"/>
    </row>
    <row r="29" spans="1:10" s="1" customFormat="1" ht="51.75" customHeight="1">
      <c r="A29" s="25" t="s">
        <v>204</v>
      </c>
      <c r="B29" s="24" t="str">
        <f>VLOOKUP($A29,Questions!$A$2:$X$333,2,0)</f>
        <v>Do you have a process and implemented procedures for managing your software supply chain (e.g., libraries, repositories, frameworks, etc.)</v>
      </c>
      <c r="C29" s="27" t="s">
        <v>1652</v>
      </c>
      <c r="D29" s="364" t="s">
        <v>1784</v>
      </c>
      <c r="E29" s="174" t="str">
        <f>IF($C$18="No",'Auto Responses'!$A$3,IF($C29="Yes",VLOOKUP($A29,Questions!$A$2:$X$333,17,0)&amp;"",IF($C29="No",VLOOKUP($A29,Questions!$A$2:$X$333,16,0)&amp;"",VLOOKUP($A29,Questions!$A$2:$X$333,15,0)&amp;"")))</f>
        <v>Provide supporting documentation of your processes.</v>
      </c>
      <c r="F29" s="208" t="str">
        <f>VLOOKUP($A29,'Institution Evaluation'!$A$56:$F$346,6,0)&amp;""</f>
        <v/>
      </c>
      <c r="I29" s="42"/>
      <c r="J29" s="42"/>
    </row>
    <row r="30" spans="1:10" s="1" customFormat="1" ht="38.25" customHeight="1">
      <c r="A30" s="25" t="s">
        <v>208</v>
      </c>
      <c r="B30" s="24" t="str">
        <f>VLOOKUP($A30,Questions!$A$2:$X$333,2,0)</f>
        <v>Have your developers been trained in secure coding techniques?</v>
      </c>
      <c r="C30" s="27" t="s">
        <v>1652</v>
      </c>
      <c r="D30" s="364" t="s">
        <v>1712</v>
      </c>
      <c r="E30" s="174" t="str">
        <f>IF($C$18="No",'Auto Responses'!$A$3,IF($C30="Yes",VLOOKUP($A30,Questions!$A$2:$X$333,17,0)&amp;"",IF($C30="No",VLOOKUP($A30,Questions!$A$2:$X$333,16,0)&amp;"",VLOOKUP($A30,Questions!$A$2:$X$333,15,0)&amp;"")))</f>
        <v>Summarize your secure coding training.</v>
      </c>
      <c r="F30" s="208" t="str">
        <f>VLOOKUP($A30,'Institution Evaluation'!$A$56:$F$346,6,0)&amp;""</f>
        <v/>
      </c>
      <c r="I30" s="42"/>
      <c r="J30" s="42"/>
    </row>
    <row r="31" spans="1:10" s="1" customFormat="1" ht="45.75" customHeight="1">
      <c r="A31" s="25" t="s">
        <v>212</v>
      </c>
      <c r="B31" s="24" t="str">
        <f>VLOOKUP($A31,Questions!$A$2:$X$333,2,0)</f>
        <v>Was your application developed using secure coding techniques?</v>
      </c>
      <c r="C31" s="27" t="s">
        <v>1652</v>
      </c>
      <c r="D31" s="365" t="s">
        <v>1713</v>
      </c>
      <c r="E31" s="174" t="str">
        <f>IF($C$18="No",'Auto Responses'!$A$3,IF($C31="Yes",VLOOKUP($A31,Questions!$A$2:$X$333,17,0)&amp;"",IF($C31="No",VLOOKUP($A31,Questions!$A$2:$X$333,16,0)&amp;"",VLOOKUP($A31,Questions!$A$2:$X$333,15,0)&amp;"")))</f>
        <v>Summarize your secure coding practices.</v>
      </c>
      <c r="F31" s="208" t="str">
        <f>VLOOKUP($A31,'Institution Evaluation'!$A$56:$F$346,6,0)&amp;""</f>
        <v/>
      </c>
      <c r="I31" s="42"/>
      <c r="J31" s="42"/>
    </row>
    <row r="32" spans="1:10" s="1" customFormat="1" ht="48" customHeight="1">
      <c r="A32" s="25" t="s">
        <v>216</v>
      </c>
      <c r="B32" s="24" t="str">
        <f>VLOOKUP($A32,Questions!$A$2:$X$333,2,0)</f>
        <v>If mobile, is the application available from a trusted source (e.g., App Store, Google Play Store)?</v>
      </c>
      <c r="C32" s="27" t="s">
        <v>1614</v>
      </c>
      <c r="D32" s="337" t="s">
        <v>1726</v>
      </c>
      <c r="E32" s="174" t="str">
        <f>IF($C$18="No",'Auto Responses'!$A$3,IF($C32="Yes",VLOOKUP($A32,Questions!$A$2:$X$333,17,0)&amp;"",IF($C32="No",VLOOKUP($A32,Questions!$A$2:$X$333,16,0)&amp;"",IF($C32="N/A",VLOOKUP($A32,Questions!$A$2:$X$333,18,0)&amp;"",VLOOKUP($A32,Questions!$A$2:$X$333,15,0)&amp;""))))</f>
        <v>Please explain why this does not apply to your product or service.</v>
      </c>
      <c r="F32" s="208" t="str">
        <f>VLOOKUP($A32,'Institution Evaluation'!$A$56:$F$346,6,0)&amp;""</f>
        <v/>
      </c>
      <c r="I32" s="42"/>
      <c r="J32" s="42"/>
    </row>
    <row r="33" spans="1:10" s="1" customFormat="1" ht="61.5" customHeight="1" thickBot="1">
      <c r="A33" s="25" t="s">
        <v>219</v>
      </c>
      <c r="B33" s="24" t="str">
        <f>VLOOKUP($A33,Questions!$A$2:$X$333,2,0)</f>
        <v>Do you have a fully implemented policy or procedure that details how your employees obtain administrator access to institutional instance of the application?</v>
      </c>
      <c r="C33" s="27" t="s">
        <v>1652</v>
      </c>
      <c r="D33" s="364" t="s">
        <v>1714</v>
      </c>
      <c r="E33" s="174" t="str">
        <f>IF($C$18="No",'Auto Responses'!$A$3,IF($C33="Yes",VLOOKUP($A33,Questions!$A$2:$X$333,17,0)&amp;"",IF($C33="No",VLOOKUP($A33,Questions!$A$2:$X$333,16,0)&amp;"",VLOOKUP($A33,Questions!$A$2:$X$333,15,0)&amp;"")))</f>
        <v>Describe or provide a reference that details how administrator access is handled (e.g., provisioning, principle of least privilege, deprovisioning, etc.).</v>
      </c>
      <c r="F33" s="208" t="str">
        <f>VLOOKUP($A33,'Institution Evaluation'!$A$56:$F$346,6,0)&amp;""</f>
        <v/>
      </c>
      <c r="G33" s="255" t="s">
        <v>1531</v>
      </c>
      <c r="I33" s="42"/>
      <c r="J33" s="42"/>
    </row>
    <row r="34" spans="1:10" s="1" customFormat="1" ht="37.25" customHeight="1" thickBot="1">
      <c r="A34" s="70" t="str">
        <f>VLOOKUP(LEFT($A35,4),'Auto Responses'!$N$4:$O$38,2,0)&amp;""</f>
        <v xml:space="preserve"> Datacenter</v>
      </c>
      <c r="B34" s="29"/>
      <c r="C34" s="19" t="s">
        <v>1583</v>
      </c>
      <c r="D34" s="19" t="s">
        <v>72</v>
      </c>
      <c r="E34" s="38" t="s">
        <v>904</v>
      </c>
      <c r="F34" s="194" t="s">
        <v>905</v>
      </c>
      <c r="I34" s="42"/>
      <c r="J34" s="42"/>
    </row>
    <row r="35" spans="1:10" s="1" customFormat="1" ht="84" customHeight="1">
      <c r="A35" s="25" t="s">
        <v>421</v>
      </c>
      <c r="B35" s="24" t="str">
        <f>VLOOKUP($A35,Questions!$A$2:$X$333,2,0)</f>
        <v>Select your hosting option.</v>
      </c>
      <c r="C35" s="81" t="s">
        <v>1592</v>
      </c>
      <c r="D35" s="364" t="s">
        <v>1715</v>
      </c>
      <c r="E35" s="174" t="str">
        <f>IF(OR($C35="",$C35="Other"),VLOOKUP($A35,Questions!$A$2:$X$333,15,0),"")&amp;""</f>
        <v/>
      </c>
      <c r="F35" s="208" t="str">
        <f>VLOOKUP($A35,'Institution Evaluation'!$A$56:$F$346,6,0)&amp;""</f>
        <v/>
      </c>
      <c r="I35" s="42"/>
      <c r="J35" s="42"/>
    </row>
    <row r="36" spans="1:10" s="1" customFormat="1" ht="53.25" customHeight="1">
      <c r="A36" s="25" t="s">
        <v>426</v>
      </c>
      <c r="B36" s="24" t="str">
        <f>VLOOKUP($A36,Questions!$A$2:$X$333,2,0)</f>
        <v>Is a SOC 2 Type 2 report available for the hosting environment?</v>
      </c>
      <c r="C36" s="27" t="s">
        <v>1652</v>
      </c>
      <c r="D36" s="337" t="s">
        <v>1716</v>
      </c>
      <c r="E36" s="174" t="str">
        <f>IF($C$35="","",IF(OR($C$35='Auto Responses'!$J$20,$C$35='Auto Responses'!$J$21,$C$35='Auto Responses'!$J$22),'Auto Responses'!$A$26,IF($C36="Yes",VLOOKUP($A36,Questions!$A$2:$X$333,17,0)&amp;"",IF($C36="No",VLOOKUP($A36,Questions!$A$2:$X$333,16,0)&amp;"",VLOOKUP($A36,Questions!$A$2:$X$333,15,0)&amp;""))))</f>
        <v>Obtain the report if possible and add it to your submission.</v>
      </c>
      <c r="F36" s="208" t="str">
        <f>VLOOKUP($A36,'Institution Evaluation'!$A$56:$F$346,6,0)&amp;""</f>
        <v/>
      </c>
      <c r="I36" s="42"/>
      <c r="J36" s="42"/>
    </row>
    <row r="37" spans="1:10" s="1" customFormat="1" ht="58.5" customHeight="1">
      <c r="A37" s="25" t="s">
        <v>428</v>
      </c>
      <c r="B37" s="24" t="str">
        <f>VLOOKUP($A37,Questions!$A$2:$X$333,2,0)</f>
        <v>Are you generally able to accommodate storing each institution's data within its geographic region?</v>
      </c>
      <c r="C37" s="27" t="s">
        <v>1652</v>
      </c>
      <c r="D37" s="337" t="s">
        <v>1655</v>
      </c>
      <c r="E37" s="174" t="str">
        <f>IF($C$35="","",IF($C37="Yes",VLOOKUP($A37,Questions!$A$2:$X$333,17,0)&amp;"",IF($C37="No",VLOOKUP($A37,Questions!$A$2:$X$333,16,0)&amp;"",VLOOKUP($A37,Questions!$A$2:$X$333,15,0)&amp;"")))</f>
        <v/>
      </c>
      <c r="F37" s="208" t="str">
        <f>VLOOKUP($A37,'Institution Evaluation'!$A$56:$F$346,6,0)&amp;""</f>
        <v/>
      </c>
      <c r="I37" s="42"/>
      <c r="J37" s="42"/>
    </row>
    <row r="38" spans="1:10" s="1" customFormat="1" ht="53.25" customHeight="1">
      <c r="A38" s="25" t="s">
        <v>431</v>
      </c>
      <c r="B38" s="24" t="str">
        <f>VLOOKUP($A38,Questions!$A$2:$X$333,2,0)</f>
        <v>Are the data centers staffed 24 hours a day, seven days a week (i.e., 24 x 7 x 365)?</v>
      </c>
      <c r="C38" s="27" t="s">
        <v>1652</v>
      </c>
      <c r="D38" s="363" t="s">
        <v>1674</v>
      </c>
      <c r="E38" s="174" t="str">
        <f>IF($C$35="","",IF(OR($C$35='Auto Responses'!$J$20,$C$35='Auto Responses'!$J$21,$C$35='Auto Responses'!$J$22),'Auto Responses'!$A$26,IF($C38="Yes",VLOOKUP($A38,Questions!$A$2:$X$333,17,0)&amp;"",IF($C38="No",VLOOKUP($A38,Questions!$A$2:$X$333,16,0)&amp;"",VLOOKUP($A38,Questions!$A$2:$X$333,15,0)&amp;""))))</f>
        <v>Describe the on-site staff capabilities.</v>
      </c>
      <c r="F38" s="208" t="str">
        <f>VLOOKUP($A38,'Institution Evaluation'!$A$56:$F$346,6,0)&amp;""</f>
        <v/>
      </c>
      <c r="I38" s="42"/>
      <c r="J38" s="42"/>
    </row>
    <row r="39" spans="1:10" s="1" customFormat="1" ht="55.5" customHeight="1">
      <c r="A39" s="25" t="s">
        <v>436</v>
      </c>
      <c r="B39" s="24" t="str">
        <f>VLOOKUP($A39,Questions!$A$2:$X$333,2,0)</f>
        <v>Are your servers separated from other companies via a physical barrier, such as a cage or hard walls?</v>
      </c>
      <c r="C39" s="27" t="s">
        <v>1652</v>
      </c>
      <c r="D39" s="363" t="s">
        <v>1674</v>
      </c>
      <c r="E39" s="174" t="str">
        <f>IF($C$35="","",IF(OR($C$35='Auto Responses'!$J$17,$C$35='Auto Responses'!$J$19,$C$35='Auto Responses'!$J$20,$C$35='Auto Responses'!$J$21,$C$35='Auto Responses'!$J$22),'Auto Responses'!$A$26,IF($C39="Yes",VLOOKUP($A39,Questions!$A$2:$X$333,17,0)&amp;"",IF($C39="No",VLOOKUP($A39,Questions!$A$2:$X$333,16,0)&amp;"",VLOOKUP($A39,Questions!$A$2:$X$333,15,0)&amp;""))))</f>
        <v>Describe your physical barrier strategy.</v>
      </c>
      <c r="F39" s="208" t="str">
        <f>VLOOKUP($A39,'Institution Evaluation'!$A$56:$F$346,6,0)&amp;""</f>
        <v/>
      </c>
      <c r="I39" s="42"/>
      <c r="J39" s="42"/>
    </row>
    <row r="40" spans="1:10" s="1" customFormat="1" ht="56.25" customHeight="1">
      <c r="A40" s="25" t="s">
        <v>439</v>
      </c>
      <c r="B40" s="24" t="str">
        <f>VLOOKUP($A40,Questions!$A$2:$X$333,2,0)</f>
        <v>Does a physical barrier fully enclose the physical space, preventing unauthorized physical contact with any of your devices?*</v>
      </c>
      <c r="C40" s="27" t="s">
        <v>1652</v>
      </c>
      <c r="D40" s="363" t="s">
        <v>1674</v>
      </c>
      <c r="E40" s="174" t="str">
        <f>IF($C$35="","",IF(OR($C$35='Auto Responses'!$J$19,$C$35='Auto Responses'!$J$20,$C$35='Auto Responses'!$J$21,$C$35='Auto Responses'!$J$22),'Auto Responses'!$A$26,IF($C40="Yes",VLOOKUP($A40,Questions!$A$2:$X$333,17,0)&amp;"",IF($C40="No",VLOOKUP($A40,Questions!$A$2:$X$333,16,0)&amp;"",VLOOKUP($A40,Questions!$A$2:$X$333,15,0)&amp;""))))</f>
        <v/>
      </c>
      <c r="F40" s="208" t="str">
        <f>VLOOKUP($A40,'Institution Evaluation'!$A$56:$F$346,6,0)&amp;""</f>
        <v/>
      </c>
      <c r="I40" s="42"/>
      <c r="J40" s="42"/>
    </row>
    <row r="41" spans="1:10" s="1" customFormat="1" ht="48.75" customHeight="1">
      <c r="A41" s="25" t="s">
        <v>441</v>
      </c>
      <c r="B41" s="24" t="str">
        <f>VLOOKUP($A41,Questions!$A$2:$X$333,2,0)</f>
        <v>Are your primary and secondary data centers geographically diverse?</v>
      </c>
      <c r="C41" s="27" t="s">
        <v>1652</v>
      </c>
      <c r="D41" s="363" t="s">
        <v>1674</v>
      </c>
      <c r="E41" s="174" t="str">
        <f>IF($C$35="","",IF($C41="Yes",VLOOKUP($A41,Questions!$A$2:$X$333,17,0)&amp;"",IF($C41="No",VLOOKUP($A41,Questions!$A$2:$X$333,16,0)&amp;"",VLOOKUP($A41,Questions!$A$2:$X$333,15,0)&amp;"")))</f>
        <v>State your primary and secondary data center locations. For cloud infrastructures, state the primary and secondary zones.</v>
      </c>
      <c r="F41" s="208" t="str">
        <f>VLOOKUP($A41,'Institution Evaluation'!$A$56:$F$346,6,0)&amp;""</f>
        <v/>
      </c>
      <c r="I41" s="42"/>
      <c r="J41" s="42"/>
    </row>
    <row r="42" spans="1:10" s="1" customFormat="1" ht="48" customHeight="1">
      <c r="A42" s="25" t="s">
        <v>446</v>
      </c>
      <c r="B42" s="24" t="str">
        <f>VLOOKUP($A42,Questions!$A$2:$X$333,2,0)</f>
        <v>Is the service hosted in a high-availability environment?</v>
      </c>
      <c r="C42" s="27" t="s">
        <v>1652</v>
      </c>
      <c r="D42" s="363" t="s">
        <v>1674</v>
      </c>
      <c r="E42" s="174" t="str">
        <f>IF($C$35="","",IF($C42="Yes",VLOOKUP($A42,Questions!$A$2:$X$333,17,0)&amp;"",IF($C42="No",VLOOKUP($A42,Questions!$A$2:$X$333,16,0)&amp;"",VLOOKUP($A42,Questions!$A$2:$X$333,15,0)&amp;"")))</f>
        <v>Provide a summary to support your response selection.</v>
      </c>
      <c r="F42" s="208" t="str">
        <f>VLOOKUP($A42,'Institution Evaluation'!$A$56:$F$346,6,0)&amp;""</f>
        <v/>
      </c>
      <c r="I42" s="42"/>
      <c r="J42" s="42"/>
    </row>
    <row r="43" spans="1:10" s="1" customFormat="1" ht="55.5" customHeight="1">
      <c r="A43" s="25" t="s">
        <v>447</v>
      </c>
      <c r="B43" s="24" t="str">
        <f>VLOOKUP($A43,Questions!$A$2:$X$333,2,0)</f>
        <v>Is redundant power available for all data centers where institutional data will reside?</v>
      </c>
      <c r="C43" s="27" t="s">
        <v>1652</v>
      </c>
      <c r="D43" s="363" t="s">
        <v>1674</v>
      </c>
      <c r="E43" s="174" t="str">
        <f>IF($C$35="","",IF(OR($C$35='Auto Responses'!$J$20,$C$35='Auto Responses'!$J$21,$C$35='Auto Responses'!$J$22),'Auto Responses'!$A$26,IF($C43="Yes",VLOOKUP($A43,Questions!$A$2:$X$333,17,0)&amp;"",IF($C43="No",VLOOKUP($A43,Questions!$A$2:$X$333,16,0)&amp;"",VLOOKUP($A43,Questions!$A$2:$X$333,15,0)&amp;""))))</f>
        <v>Provide a detailed description of the implemented strategy (i.e.,batteries, generator).</v>
      </c>
      <c r="F43" s="208" t="str">
        <f>VLOOKUP($A43,'Institution Evaluation'!$A$56:$F$346,6,0)&amp;""</f>
        <v/>
      </c>
      <c r="I43" s="42"/>
      <c r="J43" s="42"/>
    </row>
    <row r="44" spans="1:10" s="1" customFormat="1" ht="56.25" customHeight="1">
      <c r="A44" s="25" t="s">
        <v>448</v>
      </c>
      <c r="B44" s="24" t="str">
        <f>VLOOKUP($A44,Questions!$A$2:$X$333,2,0)</f>
        <v>Are redundant power strategies tested?*</v>
      </c>
      <c r="C44" s="27" t="s">
        <v>1652</v>
      </c>
      <c r="D44" s="363" t="s">
        <v>1674</v>
      </c>
      <c r="E44" s="174" t="str">
        <f>IF($C$35="","",IF(OR($C$35='Auto Responses'!$J$20,$C$35='Auto Responses'!$J$21,$C$35='Auto Responses'!$J$22),'Auto Responses'!$A$26,IF($C44="Yes",VLOOKUP($A44,Questions!$A$2:$X$333,17,0)&amp;"",IF($C44="No",VLOOKUP($A44,Questions!$A$2:$X$333,16,0)&amp;"",VLOOKUP($A44,Questions!$A$2:$X$333,15,0)&amp;""))))</f>
        <v>State how often redundant power strategies are tested and the date of the last successful test.</v>
      </c>
      <c r="F44" s="208" t="str">
        <f>VLOOKUP($A44,'Institution Evaluation'!$A$56:$F$346,6,0)&amp;""</f>
        <v/>
      </c>
      <c r="I44" s="42"/>
      <c r="J44" s="42"/>
    </row>
    <row r="45" spans="1:10" s="1" customFormat="1" ht="60" customHeight="1">
      <c r="A45" s="25" t="s">
        <v>453</v>
      </c>
      <c r="B45" s="24" t="str">
        <f>VLOOKUP($A45,Questions!$A$2:$X$333,2,0)</f>
        <v>Does the center where the data will reside have cooling and fire-suppression systems that are active and regularly tested?</v>
      </c>
      <c r="C45" s="27" t="s">
        <v>1652</v>
      </c>
      <c r="D45" s="363" t="s">
        <v>1717</v>
      </c>
      <c r="E45" s="174" t="str">
        <f>IF($C$35="","",IF(OR($C$35='Auto Responses'!$J$19,$C$35='Auto Responses'!$J$20,$C$35='Auto Responses'!$J$21,$C$35='Auto Responses'!$J$22,$C$35='Auto Responses'!$J$23),'Auto Responses'!$A$26,IF($C45="Yes",VLOOKUP($A45,Questions!$A$2:$X$333,17,0)&amp;"",IF($C45="No",VLOOKUP($A45,Questions!$A$2:$X$333,16,0)&amp;"",VLOOKUP($A45,Questions!$A$2:$X$333,15,0)&amp;""))))</f>
        <v>Based on the response to DCTR-01, this question does not apply to this product or service.</v>
      </c>
      <c r="F45" s="208" t="str">
        <f>VLOOKUP($A45,'Institution Evaluation'!$A$56:$F$346,6,0)&amp;""</f>
        <v/>
      </c>
      <c r="I45" s="42"/>
      <c r="J45" s="42"/>
    </row>
    <row r="46" spans="1:10" s="1" customFormat="1" ht="55.5" customHeight="1">
      <c r="A46" s="25" t="s">
        <v>456</v>
      </c>
      <c r="B46" s="24" t="str">
        <f>VLOOKUP($A46,Questions!$A$2:$X$333,2,0)</f>
        <v>Do you have Internet Service Provider (ISP) redundancy?</v>
      </c>
      <c r="C46" s="27" t="s">
        <v>1652</v>
      </c>
      <c r="D46" s="363" t="s">
        <v>1674</v>
      </c>
      <c r="E46" s="174" t="str">
        <f>IF($C$35="","",IF(OR($C$35='Auto Responses'!$J$20,$C$35='Auto Responses'!$J$21,$C$35='Auto Responses'!$J$22),'Auto Responses'!$A$26,IF($C46="Yes",VLOOKUP($A46,Questions!$A$2:$X$333,17,0)&amp;"",IF($C46="No",VLOOKUP($A46,Questions!$A$2:$X$333,16,0)&amp;"",VLOOKUP($A46,Questions!$A$2:$X$333,15,0)&amp;""))))</f>
        <v>State how many Internet Service Providers (ISPs) provide connectivity to each data center where the institution's data will reside.</v>
      </c>
      <c r="F46" s="208" t="str">
        <f>VLOOKUP($A46,'Institution Evaluation'!$A$56:$F$346,6,0)&amp;""</f>
        <v/>
      </c>
      <c r="I46" s="42"/>
      <c r="J46" s="42"/>
    </row>
    <row r="47" spans="1:10" s="1" customFormat="1" ht="56.25" customHeight="1">
      <c r="A47" s="25" t="s">
        <v>460</v>
      </c>
      <c r="B47" s="24" t="str">
        <f>VLOOKUP($A47,Questions!$A$2:$X$333,2,0)</f>
        <v>Does every data center where the institution's data will reside have multiple telephone company or network provider entrances to the facility?</v>
      </c>
      <c r="C47" s="27" t="s">
        <v>1652</v>
      </c>
      <c r="D47" s="363" t="s">
        <v>1674</v>
      </c>
      <c r="E47" s="174" t="str">
        <f>IF($C$35="","",IF(OR($C$35='Auto Responses'!$J$20,$C$35='Auto Responses'!$J$21,$C$35='Auto Responses'!$J$22),'Auto Responses'!$A$26,IF($C47="Yes",VLOOKUP($A47,Questions!$A$2:$X$333,17,0)&amp;"",IF($C47="No",VLOOKUP($A47,Questions!$A$2:$X$333,16,0)&amp;"",VLOOKUP($A47,Questions!$A$2:$X$333,15,0)&amp;""))))</f>
        <v>Provide a brief description for each datacenter.</v>
      </c>
      <c r="F47" s="208" t="str">
        <f>VLOOKUP($A47,'Institution Evaluation'!$A$56:$F$346,6,0)&amp;""</f>
        <v/>
      </c>
      <c r="I47" s="42"/>
      <c r="J47" s="42"/>
    </row>
    <row r="48" spans="1:10" s="1" customFormat="1" ht="49.5" customHeight="1">
      <c r="A48" s="25" t="s">
        <v>462</v>
      </c>
      <c r="B48" s="24" t="str">
        <f>VLOOKUP($A48,Questions!$A$2:$X$333,2,0)</f>
        <v>Do you require multifactor authentication for all administrative accounts in your environment?</v>
      </c>
      <c r="C48" s="27" t="s">
        <v>1654</v>
      </c>
      <c r="D48" s="364" t="s">
        <v>1718</v>
      </c>
      <c r="E48" s="174" t="str">
        <f>IF($C$35="","",IF($C48="Yes",VLOOKUP($A48,Questions!$A$2:$X$333,17,0)&amp;"",IF($C48="No",VLOOKUP($A48,Questions!$A$2:$X$333,16,0)&amp;"",VLOOKUP($A48,Questions!$A$2:$X$333,15,0)&amp;"")))</f>
        <v>Describe plans to implement MFA.</v>
      </c>
      <c r="F48" s="208" t="str">
        <f>VLOOKUP($A48,'Institution Evaluation'!$A$56:$F$346,6,0)&amp;""</f>
        <v/>
      </c>
      <c r="I48" s="42"/>
      <c r="J48" s="42"/>
    </row>
    <row r="49" spans="1:10" s="1" customFormat="1" ht="54" customHeight="1">
      <c r="A49" s="25" t="s">
        <v>466</v>
      </c>
      <c r="B49" s="24" t="str">
        <f>VLOOKUP($A49,Questions!$A$2:$X$333,2,0)</f>
        <v>Are you using your cloud provider's available hardening tools or pre-hardened images?</v>
      </c>
      <c r="C49" s="27" t="s">
        <v>1652</v>
      </c>
      <c r="D49" s="364" t="s">
        <v>1689</v>
      </c>
      <c r="E49" s="174" t="str">
        <f>IF($C$35="","",IF(OR($C$35='Auto Responses'!$J$17,$C$35='Auto Responses'!$J$18),'Auto Responses'!$A$26,IF($C49="Yes",VLOOKUP($A49,Questions!$A$2:$X$333,17,0)&amp;"",IF($C49="No",VLOOKUP($A49,Questions!$A$2:$X$333,16,0)&amp;"",VLOOKUP($A49,Questions!$A$2:$X$333,15,0)&amp;""))))</f>
        <v/>
      </c>
      <c r="F49" s="208" t="str">
        <f>VLOOKUP($A49,'Institution Evaluation'!$A$56:$F$346,6,0)&amp;""</f>
        <v/>
      </c>
      <c r="I49" s="42"/>
      <c r="J49" s="42"/>
    </row>
    <row r="50" spans="1:10" s="1" customFormat="1" ht="52.5" customHeight="1" thickBot="1">
      <c r="A50" s="25" t="s">
        <v>470</v>
      </c>
      <c r="B50" s="24" t="str">
        <f>VLOOKUP($A50,Questions!$A$2:$X$333,2,0)</f>
        <v>Does your cloud solution provider have access to your encryption keys?</v>
      </c>
      <c r="C50" s="27" t="s">
        <v>1652</v>
      </c>
      <c r="D50" s="364" t="s">
        <v>1771</v>
      </c>
      <c r="E50" s="174" t="str">
        <f>IF($C$35="","",IF(OR($C$35='Auto Responses'!$J$17,$C$35='Auto Responses'!$J$18),'Auto Responses'!$A$26,IF($C50="Yes",VLOOKUP($A50,Questions!$A$2:$X$333,17,0)&amp;"",IF($C50="No",VLOOKUP($A50,Questions!$A$2:$X$333,16,0)&amp;"",VLOOKUP($A50,Questions!$A$2:$X$333,15,0)&amp;""))))</f>
        <v/>
      </c>
      <c r="F50" s="208" t="str">
        <f>VLOOKUP($A50,'Institution Evaluation'!$A$56:$F$346,6,0)&amp;""</f>
        <v/>
      </c>
      <c r="I50" s="42"/>
      <c r="J50" s="42"/>
    </row>
    <row r="51" spans="1:10" s="1" customFormat="1" ht="37.25" customHeight="1" thickBot="1">
      <c r="A51" s="70" t="str">
        <f>VLOOKUP(LEFT($A52,4),'Auto Responses'!$N$4:$O$38,2,0)&amp;""</f>
        <v xml:space="preserve"> Firewalls, IDS, IPS, and Networking</v>
      </c>
      <c r="B51" s="29"/>
      <c r="C51" s="19" t="s">
        <v>1583</v>
      </c>
      <c r="D51" s="19" t="s">
        <v>72</v>
      </c>
      <c r="E51" s="38" t="s">
        <v>904</v>
      </c>
      <c r="F51" s="194" t="s">
        <v>905</v>
      </c>
      <c r="I51" s="42"/>
      <c r="J51" s="42"/>
    </row>
    <row r="52" spans="1:10" s="1" customFormat="1" ht="38.25" customHeight="1">
      <c r="A52" s="25" t="s">
        <v>476</v>
      </c>
      <c r="B52" s="24" t="str">
        <f>VLOOKUP($A52,Questions!$A$2:$X$333,2,0)</f>
        <v>Are you utilizing a stateful packet inspection (SPI) firewall?*</v>
      </c>
      <c r="C52" s="363" t="s">
        <v>1652</v>
      </c>
      <c r="D52" s="364" t="s">
        <v>1772</v>
      </c>
      <c r="E52" s="174" t="str">
        <f>IF($C$18="No",'Auto Responses'!$A$3,IF($C52="Yes",VLOOKUP($A52,Questions!$A$2:$X$333,17,0)&amp;"",IF($C52="No",VLOOKUP($A52,Questions!$A$2:$X$333,16,0)&amp;"",VLOOKUP($A52,Questions!$A$2:$X$333,15,0)&amp;"")))</f>
        <v>Describe the currently implemented SPI firewall.</v>
      </c>
      <c r="F52" s="208" t="str">
        <f>VLOOKUP($A52,'Institution Evaluation'!$A$56:$F$346,6,0)&amp;""</f>
        <v/>
      </c>
      <c r="I52" s="42"/>
      <c r="J52" s="42"/>
    </row>
    <row r="53" spans="1:10" s="1" customFormat="1" ht="38.25" customHeight="1">
      <c r="A53" s="25" t="s">
        <v>479</v>
      </c>
      <c r="B53" s="24" t="str">
        <f>VLOOKUP($A53,Questions!$A$2:$X$333,2,0)</f>
        <v>Do you have a documented policy for firewall change requests?*</v>
      </c>
      <c r="C53" s="27" t="s">
        <v>1652</v>
      </c>
      <c r="D53" s="363" t="s">
        <v>1760</v>
      </c>
      <c r="E53" s="174" t="str">
        <f>IF($C$18="No",'Auto Responses'!$A$3,IF($C53="Yes",VLOOKUP($A53,Questions!$A$2:$X$333,17,0)&amp;"",IF($C53="No",VLOOKUP($A53,Questions!$A$2:$X$333,16,0)&amp;"",VLOOKUP($A53,Questions!$A$2:$X$333,15,0)&amp;"")))</f>
        <v>Describe your documented firewall change request policy.</v>
      </c>
      <c r="F53" s="208" t="str">
        <f>VLOOKUP($A53,'Institution Evaluation'!$A$56:$F$346,6,0)&amp;""</f>
        <v/>
      </c>
      <c r="I53" s="42"/>
      <c r="J53" s="42"/>
    </row>
    <row r="54" spans="1:10" s="1" customFormat="1" ht="38.25" customHeight="1">
      <c r="A54" s="25" t="s">
        <v>484</v>
      </c>
      <c r="B54" s="24" t="str">
        <f>VLOOKUP($A54,Questions!$A$2:$X$333,2,0)</f>
        <v>Have you implemented an intrusion detection system (network-based)?*</v>
      </c>
      <c r="C54" s="27" t="s">
        <v>1652</v>
      </c>
      <c r="D54" s="364" t="s">
        <v>1773</v>
      </c>
      <c r="E54" s="174" t="str">
        <f>IF($C$18="No",'Auto Responses'!$A$3,IF($C54="Yes",VLOOKUP($A54,Questions!$A$2:$X$333,17,0)&amp;"",IF($C54="No",VLOOKUP($A54,Questions!$A$2:$X$333,16,0)&amp;"",VLOOKUP($A54,Questions!$A$2:$X$333,15,0)&amp;"")))</f>
        <v>Describe the currently implemented IDS.</v>
      </c>
      <c r="F54" s="208" t="str">
        <f>VLOOKUP($A54,'Institution Evaluation'!$A$56:$F$346,6,0)&amp;""</f>
        <v/>
      </c>
      <c r="I54" s="42"/>
      <c r="J54" s="42"/>
    </row>
    <row r="55" spans="1:10" s="1" customFormat="1" ht="38.25" customHeight="1">
      <c r="A55" s="25" t="s">
        <v>489</v>
      </c>
      <c r="B55" s="24" t="str">
        <f>VLOOKUP($A55,Questions!$A$2:$X$333,2,0)</f>
        <v>Do you employ host-based intrusion detection?*</v>
      </c>
      <c r="C55" s="27" t="s">
        <v>1652</v>
      </c>
      <c r="D55" s="337" t="s">
        <v>1691</v>
      </c>
      <c r="E55" s="174" t="str">
        <f>IF($C$18="No",'Auto Responses'!$A$3,IF($C55="Yes",VLOOKUP($A55,Questions!$A$2:$X$333,17,0)&amp;"",IF($C55="No",VLOOKUP($A55,Questions!$A$2:$X$333,16,0)&amp;"",IF($C55="N/A",VLOOKUP($A55,Questions!$A$2:$X$333,18,0)&amp;"",VLOOKUP($A55,Questions!$A$2:$X$333,15,0)&amp;""))))</f>
        <v>Describe the currently implemented host-based IDS solution(s).</v>
      </c>
      <c r="F55" s="208" t="str">
        <f>VLOOKUP($A55,'Institution Evaluation'!$A$56:$F$346,6,0)&amp;""</f>
        <v/>
      </c>
      <c r="I55" s="42"/>
      <c r="J55" s="42"/>
    </row>
    <row r="56" spans="1:10" s="1" customFormat="1" ht="38.25" customHeight="1">
      <c r="A56" s="25" t="s">
        <v>492</v>
      </c>
      <c r="B56" s="24" t="str">
        <f>VLOOKUP($A56,Questions!$A$2:$X$333,2,0)</f>
        <v>Are audit logs available for all changes to the network, firewall, IDS, and IPS systems?*</v>
      </c>
      <c r="C56" s="27" t="s">
        <v>1652</v>
      </c>
      <c r="D56" s="363" t="s">
        <v>1757</v>
      </c>
      <c r="E56" s="174" t="str">
        <f>IF($C$18="No",'Auto Responses'!$A$3,IF($C56="Yes",VLOOKUP($A56,Questions!$A$2:$X$333,17,0)&amp;"",IF($C56="No",VLOOKUP($A56,Questions!$A$2:$X$333,16,0)&amp;"",VLOOKUP($A56,Questions!$A$2:$X$333,15,0)&amp;"")))</f>
        <v>Describe your current network systems logging strategy.</v>
      </c>
      <c r="F56" s="208" t="str">
        <f>VLOOKUP($A56,'Institution Evaluation'!$A$56:$F$346,6,0)&amp;""</f>
        <v/>
      </c>
      <c r="I56" s="42"/>
      <c r="J56" s="42"/>
    </row>
    <row r="57" spans="1:10" s="1" customFormat="1" ht="48" customHeight="1">
      <c r="A57" s="25" t="s">
        <v>494</v>
      </c>
      <c r="B57" s="24" t="str">
        <f>VLOOKUP($A57,Questions!$A$2:$X$333,2,0)</f>
        <v>Is authority for firewall change approval documented? Please list approver names or titles in Additional Info.</v>
      </c>
      <c r="C57" s="27" t="s">
        <v>1652</v>
      </c>
      <c r="D57" s="364" t="s">
        <v>1692</v>
      </c>
      <c r="E57" s="174" t="str">
        <f>IF($C$18="No",'Auto Responses'!$A$3,IF($C57="Yes",VLOOKUP($A57,Questions!$A$2:$X$333,17,0)&amp;"",IF($C57="No",VLOOKUP($A57,Questions!$A$2:$X$333,16,0)&amp;"",VLOOKUP($A57,Questions!$A$2:$X$333,15,0)&amp;"")))</f>
        <v>List approver names or titles.</v>
      </c>
      <c r="F57" s="208" t="str">
        <f>VLOOKUP($A57,'Institution Evaluation'!$A$56:$F$346,6,0)&amp;""</f>
        <v/>
      </c>
      <c r="I57" s="42"/>
      <c r="J57" s="42"/>
    </row>
    <row r="58" spans="1:10" s="1" customFormat="1" ht="38.25" customHeight="1">
      <c r="A58" s="25" t="s">
        <v>496</v>
      </c>
      <c r="B58" s="24" t="str">
        <f>VLOOKUP($A58,Questions!$A$2:$X$333,2,0)</f>
        <v>Have you implemented an intrusion prevention system (network-based)?</v>
      </c>
      <c r="C58" s="27" t="s">
        <v>1652</v>
      </c>
      <c r="D58" s="337" t="s">
        <v>1756</v>
      </c>
      <c r="E58" s="174" t="str">
        <f>IF($C$18="No",'Auto Responses'!$A$3,IF($C58="Yes",VLOOKUP($A58,Questions!$A$2:$X$333,17,0)&amp;"",IF($C58="No",VLOOKUP($A58,Questions!$A$2:$X$333,16,0)&amp;"",VLOOKUP($A58,Questions!$A$2:$X$333,15,0)&amp;"")))</f>
        <v>Describe the currently implemented IPS.</v>
      </c>
      <c r="F58" s="208" t="str">
        <f>VLOOKUP($A58,'Institution Evaluation'!$A$56:$F$346,6,0)&amp;""</f>
        <v/>
      </c>
      <c r="I58" s="42"/>
      <c r="J58" s="42"/>
    </row>
    <row r="59" spans="1:10" s="1" customFormat="1" ht="38.25" customHeight="1">
      <c r="A59" s="25" t="s">
        <v>499</v>
      </c>
      <c r="B59" s="24" t="str">
        <f>VLOOKUP($A59,Questions!$A$2:$X$333,2,0)</f>
        <v>Do you employ host-based intrusion prevention?</v>
      </c>
      <c r="C59" s="27" t="s">
        <v>1652</v>
      </c>
      <c r="D59" s="364" t="s">
        <v>1719</v>
      </c>
      <c r="E59" s="174" t="str">
        <f>IF($C$18="No",'Auto Responses'!$A$3,IF($C59="Yes",VLOOKUP($A59,Questions!$A$2:$X$333,17,0)&amp;"",IF($C59="No",VLOOKUP($A59,Questions!$A$2:$X$333,16,0)&amp;"",IF($C59="N/A",VLOOKUP($A59,Questions!$A$2:$X$333,18,0)&amp;"",VLOOKUP($A59,Questions!$A$2:$X$333,15,0)&amp;""))))</f>
        <v>Describe the currently implemented host-based IPS solution(s).</v>
      </c>
      <c r="F59" s="208" t="str">
        <f>VLOOKUP($A59,'Institution Evaluation'!$A$56:$F$346,6,0)&amp;""</f>
        <v/>
      </c>
      <c r="I59" s="42"/>
      <c r="J59" s="42"/>
    </row>
    <row r="60" spans="1:10" s="1" customFormat="1" ht="38.25" customHeight="1">
      <c r="A60" s="25" t="s">
        <v>504</v>
      </c>
      <c r="B60" s="24" t="str">
        <f>VLOOKUP($A60,Questions!$A$2:$X$333,2,0)</f>
        <v>Are you employing any next-generation persistent threat (NGPT) monitoring?</v>
      </c>
      <c r="C60" s="27" t="s">
        <v>1652</v>
      </c>
      <c r="D60" s="364" t="s">
        <v>1774</v>
      </c>
      <c r="E60" s="174" t="str">
        <f>IF($C$18="No",'Auto Responses'!$A$3,IF($C60="Yes",VLOOKUP($A60,Questions!$A$2:$X$333,17,0)&amp;"",IF($C60="No",VLOOKUP($A60,Questions!$A$2:$X$333,16,0)&amp;"",VLOOKUP($A60,Questions!$A$2:$X$333,15,0)&amp;"")))</f>
        <v>Describe your NGPT monitoring strategy.</v>
      </c>
      <c r="F60" s="208" t="str">
        <f>VLOOKUP($A60,'Institution Evaluation'!$A$56:$F$346,6,0)&amp;""</f>
        <v/>
      </c>
      <c r="I60" s="42"/>
      <c r="J60" s="42"/>
    </row>
    <row r="61" spans="1:10" s="1" customFormat="1" ht="60" customHeight="1">
      <c r="A61" s="25" t="s">
        <v>509</v>
      </c>
      <c r="B61" s="24" t="str">
        <f>VLOOKUP($A61,Questions!$A$2:$X$333,2,0)</f>
        <v>Is intrusion monitoring performed internally or by a third-party service?</v>
      </c>
      <c r="C61" s="84"/>
      <c r="D61" s="364" t="s">
        <v>1720</v>
      </c>
      <c r="E61" s="174" t="str">
        <f>IF($C$18="No",'Auto Responses'!$A$3,IF($C61="Yes",VLOOKUP($A61,Questions!$A$2:$X$333,17,0)&amp;"",IF($C61="No",VLOOKUP($A61,Questions!$A$2:$X$333,16,0)&amp;"",VLOOKUP($A61,Questions!$A$2:$X$333,15,0)&amp;"")))</f>
        <v>In addition to stating your intrusion monitoring strategy, provide a brief summary of its implementation.</v>
      </c>
      <c r="F61" s="208" t="str">
        <f>VLOOKUP($A61,'Institution Evaluation'!$A$56:$F$346,6,0)&amp;""</f>
        <v/>
      </c>
      <c r="I61" s="42"/>
      <c r="J61" s="42"/>
    </row>
    <row r="62" spans="1:10" s="1" customFormat="1" ht="36" customHeight="1" thickBot="1">
      <c r="A62" s="25" t="s">
        <v>513</v>
      </c>
      <c r="B62" s="24" t="str">
        <f>VLOOKUP($A62,Questions!$A$2:$X$333,2,0)</f>
        <v>Do you monitor for intrusions on a 24 x 7 x 365 basis?</v>
      </c>
      <c r="C62" s="27" t="s">
        <v>1652</v>
      </c>
      <c r="D62" s="337" t="s">
        <v>1656</v>
      </c>
      <c r="E62" s="174" t="str">
        <f>IF($C$18="No",'Auto Responses'!$A$3,IF($C62="Yes",VLOOKUP($A62,Questions!$A$2:$X$333,17,0)&amp;"",IF($C62="No",VLOOKUP($A62,Questions!$A$2:$X$333,16,0)&amp;"",VLOOKUP($A62,Questions!$A$2:$X$333,15,0)&amp;"")))</f>
        <v>Provide a brief summary of this activity.</v>
      </c>
      <c r="F62" s="208" t="str">
        <f>VLOOKUP($A62,'Institution Evaluation'!$A$56:$F$346,6,0)&amp;""</f>
        <v/>
      </c>
      <c r="G62" s="255" t="s">
        <v>1531</v>
      </c>
      <c r="I62" s="42"/>
      <c r="J62" s="42"/>
    </row>
    <row r="63" spans="1:10" s="1" customFormat="1" ht="37.25" customHeight="1" thickBot="1">
      <c r="A63" s="70" t="str">
        <f>VLOOKUP(LEFT($A64,4),'Auto Responses'!$N$4:$O$38,2,0)&amp;""</f>
        <v xml:space="preserve"> Incident Handling</v>
      </c>
      <c r="B63" s="29"/>
      <c r="C63" s="19" t="s">
        <v>1583</v>
      </c>
      <c r="D63" s="19" t="s">
        <v>72</v>
      </c>
      <c r="E63" s="38" t="s">
        <v>904</v>
      </c>
      <c r="F63" s="194" t="s">
        <v>905</v>
      </c>
      <c r="I63" s="42"/>
      <c r="J63" s="42"/>
    </row>
    <row r="64" spans="1:10" s="1" customFormat="1" ht="27" customHeight="1">
      <c r="A64" s="25" t="s">
        <v>573</v>
      </c>
      <c r="B64" s="24" t="str">
        <f>VLOOKUP($A64,Questions!$A$2:$X$333,2,0)</f>
        <v>Do you have a formal incident response plan?</v>
      </c>
      <c r="C64" s="27" t="s">
        <v>1652</v>
      </c>
      <c r="D64" s="366" t="s">
        <v>1657</v>
      </c>
      <c r="E64" s="174" t="str">
        <f>IF($C$18="No",'Auto Responses'!$A$3,IF($C64="Yes",VLOOKUP($A64,Questions!$A$2:$X$333,17,0)&amp;"",IF($C64="No",VLOOKUP($A64,Questions!$A$2:$X$333,16,0)&amp;"",VLOOKUP($A64,Questions!$A$2:$X$333,15,0)&amp;"")))</f>
        <v>Summarize or provide a link to your formal incident response plan.</v>
      </c>
      <c r="F64" s="208" t="str">
        <f>VLOOKUP($A64,'Institution Evaluation'!$A$56:$F$346,6,0)&amp;""</f>
        <v/>
      </c>
      <c r="I64" s="42"/>
      <c r="J64" s="42"/>
    </row>
    <row r="65" spans="1:12" s="1" customFormat="1" ht="40.5" customHeight="1">
      <c r="A65" s="25" t="s">
        <v>577</v>
      </c>
      <c r="B65" s="24" t="str">
        <f>VLOOKUP($A65,Questions!$A$2:$X$333,2,0)</f>
        <v>Do you either have an internal incident response team or retain an external team?</v>
      </c>
      <c r="C65" s="27" t="s">
        <v>1652</v>
      </c>
      <c r="D65" s="364" t="s">
        <v>1722</v>
      </c>
      <c r="E65" s="174" t="str">
        <f>IF($C$18="No",'Auto Responses'!$A$3,IF($C65="Yes",VLOOKUP($A65,Questions!$A$2:$X$333,17,0)&amp;"",IF($C65="No",VLOOKUP($A65,Questions!$A$2:$X$333,16,0)&amp;"",VLOOKUP($A65,Questions!$A$2:$X$333,15,0)&amp;"")))</f>
        <v>Summarize your incident response and reporting processes.</v>
      </c>
      <c r="F65" s="208" t="str">
        <f>VLOOKUP($A65,'Institution Evaluation'!$A$56:$F$346,6,0)&amp;""</f>
        <v/>
      </c>
      <c r="I65" s="42"/>
      <c r="J65" s="42"/>
    </row>
    <row r="66" spans="1:12" s="1" customFormat="1" ht="46.5" customHeight="1">
      <c r="A66" s="25" t="s">
        <v>581</v>
      </c>
      <c r="B66" s="24" t="str">
        <f>VLOOKUP($A66,Questions!$A$2:$X$333,2,0)</f>
        <v>Do you have the capability to respond to incidents on a 24 x 7 x 365 basis?</v>
      </c>
      <c r="C66" s="27" t="s">
        <v>149</v>
      </c>
      <c r="D66" s="364" t="s">
        <v>1721</v>
      </c>
      <c r="E66" s="174" t="str">
        <f>IF($C$18="No",'Auto Responses'!$A$3,IF($C66="Yes",VLOOKUP($A66,Questions!$A$2:$X$333,17,0)&amp;"",IF($C66="No",VLOOKUP($A66,Questions!$A$2:$X$333,16,0)&amp;"",VLOOKUP($A66,Questions!$A$2:$X$333,15,0)&amp;"")))</f>
        <v>State plans for acquiring internal resources or an external team.</v>
      </c>
      <c r="F66" s="208" t="str">
        <f>VLOOKUP($A66,'Institution Evaluation'!$A$56:$F$346,6,0)&amp;""</f>
        <v/>
      </c>
      <c r="I66" s="42"/>
      <c r="J66" s="42"/>
    </row>
    <row r="67" spans="1:12" s="1" customFormat="1" ht="48" customHeight="1" thickBot="1">
      <c r="A67" s="25" t="s">
        <v>585</v>
      </c>
      <c r="B67" s="24" t="str">
        <f>VLOOKUP($A67,Questions!$A$2:$X$333,2,0)</f>
        <v>Do you carry cyber-risk insurance to protect against unforeseen service outages, data that is lost or stolen, and security incidents?</v>
      </c>
      <c r="C67" s="27" t="s">
        <v>1652</v>
      </c>
      <c r="D67" s="337" t="s">
        <v>1658</v>
      </c>
      <c r="E67" s="174" t="str">
        <f>IF($C$18="No",'Auto Responses'!$A$3,IF($C67="Yes",VLOOKUP($A67,Questions!$A$2:$X$333,17,0)&amp;"",IF($C67="No",VLOOKUP($A67,Questions!$A$2:$X$333,16,0)&amp;"",VLOOKUP($A67,Questions!$A$2:$X$333,15,0)&amp;"")))</f>
        <v>Describe the coverage in place for this solution.</v>
      </c>
      <c r="F67" s="208" t="str">
        <f>VLOOKUP($A67,'Institution Evaluation'!$A$56:$F$346,6,0)&amp;""</f>
        <v/>
      </c>
      <c r="G67" s="255" t="s">
        <v>1531</v>
      </c>
      <c r="I67" s="42"/>
      <c r="J67" s="42"/>
    </row>
    <row r="68" spans="1:12" s="1" customFormat="1" ht="37.25" customHeight="1" thickBot="1">
      <c r="A68" s="70" t="str">
        <f>VLOOKUP(LEFT($A69,4),'Auto Responses'!$N$4:$O$38,2,0)&amp;""</f>
        <v xml:space="preserve"> Vulnerability Management</v>
      </c>
      <c r="B68" s="29"/>
      <c r="C68" s="19" t="s">
        <v>1583</v>
      </c>
      <c r="D68" s="19" t="s">
        <v>72</v>
      </c>
      <c r="E68" s="38" t="s">
        <v>904</v>
      </c>
      <c r="F68" s="194" t="s">
        <v>905</v>
      </c>
      <c r="I68" s="42"/>
      <c r="J68" s="42"/>
    </row>
    <row r="69" spans="1:12" s="1" customFormat="1" ht="60.75" customHeight="1">
      <c r="A69" s="25" t="s">
        <v>588</v>
      </c>
      <c r="B69" s="24" t="str">
        <f>VLOOKUP($A69,Questions!$A$2:$X$333,2,0)</f>
        <v>Are your systems and applications scanned with an authenticated user account for vulnerabilities (that are remediated) prior to new releases?*</v>
      </c>
      <c r="C69" s="27" t="s">
        <v>1652</v>
      </c>
      <c r="D69" s="337" t="s">
        <v>1775</v>
      </c>
      <c r="E69" s="174" t="str">
        <f>IF($C$18="No",'Auto Responses'!$A$3,IF($C69="Yes",VLOOKUP($A69,Questions!$A$2:$X$333,17,0)&amp;"",IF($C69="No",VLOOKUP($A69,Questions!$A$2:$X$333,16,0)&amp;"",VLOOKUP($A69,Questions!$A$2:$X$333,15,0)&amp;"")))</f>
        <v>Provide a brief description.</v>
      </c>
      <c r="F69" s="208" t="str">
        <f>VLOOKUP($A69,'Institution Evaluation'!$A$56:$F$346,6,0)&amp;""</f>
        <v/>
      </c>
      <c r="I69" s="42"/>
      <c r="J69" s="42"/>
    </row>
    <row r="70" spans="1:12" s="1" customFormat="1" ht="36.75" customHeight="1">
      <c r="A70" s="25" t="s">
        <v>592</v>
      </c>
      <c r="B70" s="24" t="str">
        <f>VLOOKUP($A70,Questions!$A$2:$X$333,2,0)</f>
        <v>Will you provide results of application and system vulnerability scans to the institution?*</v>
      </c>
      <c r="C70" s="27" t="s">
        <v>1652</v>
      </c>
      <c r="D70" s="364" t="s">
        <v>1776</v>
      </c>
      <c r="E70" s="174" t="str">
        <f>IF($C$18="No",'Auto Responses'!$A$3,IF($C70="Yes",VLOOKUP($A70,Questions!$A$2:$X$333,17,0)&amp;"",IF($C70="No",VLOOKUP($A70,Questions!$A$2:$X$333,16,0)&amp;"",VLOOKUP($A70,Questions!$A$2:$X$333,15,0)&amp;"")))</f>
        <v>Provide a reference to security scan documentation.</v>
      </c>
      <c r="F70" s="208" t="str">
        <f>VLOOKUP($A70,'Institution Evaluation'!$A$56:$F$346,6,0)&amp;""</f>
        <v/>
      </c>
      <c r="I70" s="42"/>
      <c r="J70" s="42"/>
    </row>
    <row r="71" spans="1:12" s="1" customFormat="1" ht="51.75" customHeight="1">
      <c r="A71" s="25" t="s">
        <v>596</v>
      </c>
      <c r="B71" s="24" t="str">
        <f>VLOOKUP($A71,Questions!$A$2:$X$333,2,0)</f>
        <v>Will you allow the institution to perform its own vulnerability testing and/or scanning of your systems and/or application, provided that testing is performed at a mutually agreed upon time and date?*</v>
      </c>
      <c r="C71" s="27" t="s">
        <v>1652</v>
      </c>
      <c r="D71" s="364" t="s">
        <v>1690</v>
      </c>
      <c r="E71" s="174" t="str">
        <f>IF($C$18="No",'Auto Responses'!$A$3,IF($C71="Yes",VLOOKUP($A71,Questions!$A$2:$X$333,17,0)&amp;"",IF($C71="No",VLOOKUP($A71,Questions!$A$2:$X$333,16,0)&amp;"",VLOOKUP($A71,Questions!$A$2:$X$333,15,0)&amp;"")))</f>
        <v>Provide reference to the process or procedure to set up security testing times and scopes.</v>
      </c>
      <c r="F71" s="208" t="str">
        <f>VLOOKUP($A71,'Institution Evaluation'!$A$56:$F$346,6,0)&amp;""</f>
        <v/>
      </c>
      <c r="I71" s="42"/>
      <c r="J71" s="42"/>
    </row>
    <row r="72" spans="1:12" s="1" customFormat="1" ht="54" customHeight="1">
      <c r="A72" s="25" t="s">
        <v>599</v>
      </c>
      <c r="B72" s="24" t="str">
        <f>VLOOKUP($A72,Questions!$A$2:$X$333,2,0)</f>
        <v>Have your systems and applications had a third-party security assessment completed in the last year?</v>
      </c>
      <c r="C72" s="27" t="s">
        <v>1652</v>
      </c>
      <c r="D72" s="364" t="s">
        <v>1777</v>
      </c>
      <c r="E72" s="174" t="str">
        <f>IF($C$18="No",'Auto Responses'!$A$3,IF($C72="Yes",VLOOKUP($A72,Questions!$A$2:$X$333,17,0)&amp;"",IF($C72="No",VLOOKUP($A72,Questions!$A$2:$X$333,16,0)&amp;"",VLOOKUP($A72,Questions!$A$2:$X$333,15,0)&amp;"")))</f>
        <v>Provide the results with this document (link or attached), if possible. State the date of the last completed third-party security assessment.</v>
      </c>
      <c r="F72" s="208" t="str">
        <f>VLOOKUP($A72,'Institution Evaluation'!$A$56:$F$346,6,0)&amp;""</f>
        <v/>
      </c>
      <c r="I72" s="42"/>
      <c r="J72" s="42"/>
    </row>
    <row r="73" spans="1:12" s="1" customFormat="1" ht="60" customHeight="1">
      <c r="A73" s="25" t="s">
        <v>602</v>
      </c>
      <c r="B73" s="24" t="str">
        <f>VLOOKUP($A73,Questions!$A$2:$X$333,2,0)</f>
        <v>Do you regularly scan for common web application security vulnerabilities (e.g., SQL injection, XSS, XSRF, etc.)?</v>
      </c>
      <c r="C73" s="27" t="s">
        <v>1652</v>
      </c>
      <c r="D73" s="363" t="s">
        <v>1685</v>
      </c>
      <c r="E73" s="174" t="str">
        <f>IF($C$18="No",'Auto Responses'!$A$3,IF($C73="Yes",VLOOKUP($A73,Questions!$A$2:$X$333,17,0)&amp;"",IF($C73="No",VLOOKUP($A73,Questions!$A$2:$X$333,16,0)&amp;"",VLOOKUP($A73,Questions!$A$2:$X$333,15,0)&amp;"")))</f>
        <v/>
      </c>
      <c r="F73" s="208" t="str">
        <f>VLOOKUP($A73,'Institution Evaluation'!$A$56:$F$346,6,0)&amp;""</f>
        <v/>
      </c>
      <c r="I73" s="42"/>
      <c r="J73" s="42"/>
    </row>
    <row r="74" spans="1:12" s="1" customFormat="1" ht="56.25" customHeight="1">
      <c r="A74" s="25" t="s">
        <v>604</v>
      </c>
      <c r="B74" s="24" t="str">
        <f>VLOOKUP($A74,Questions!$A$2:$X$333,2,0)</f>
        <v>Are your systems and applications regularly scanned externally for vulnerabilities?</v>
      </c>
      <c r="C74" s="27" t="s">
        <v>1652</v>
      </c>
      <c r="D74" s="364" t="s">
        <v>1755</v>
      </c>
      <c r="E74" s="174" t="str">
        <f>IF($C$18="No",'Auto Responses'!$A$3,IF($C74="Yes",VLOOKUP($A74,Questions!$A$2:$X$333,17,0)&amp;"",IF($C74="No",VLOOKUP($A74,Questions!$A$2:$X$333,16,0)&amp;"",VLOOKUP($A74,Questions!$A$2:$X$333,15,0)&amp;"")))</f>
        <v>Decribe your external application vulnerability scanning strategy.</v>
      </c>
      <c r="F74" s="208" t="str">
        <f>VLOOKUP($A74,'Institution Evaluation'!$A$56:$F$346,6,0)&amp;""</f>
        <v/>
      </c>
      <c r="G74" s="255" t="s">
        <v>1531</v>
      </c>
      <c r="H74" s="42"/>
    </row>
    <row r="75" spans="1:12" s="178" customFormat="1" ht="36.75" customHeight="1">
      <c r="A75" s="285" t="s">
        <v>1593</v>
      </c>
      <c r="B75" s="271"/>
      <c r="C75" s="272"/>
      <c r="D75" s="338"/>
      <c r="E75" s="274"/>
      <c r="F75" s="275"/>
      <c r="G75" s="276"/>
      <c r="H75" s="179"/>
    </row>
    <row r="76" spans="1:12" s="1" customFormat="1" ht="15" hidden="1" customHeight="1">
      <c r="A76" s="30"/>
      <c r="C76" s="14"/>
      <c r="D76" s="15"/>
      <c r="E76" s="16"/>
      <c r="I76" s="42"/>
      <c r="J76" s="42"/>
    </row>
    <row r="77" spans="1:12" ht="15" hidden="1" customHeight="1">
      <c r="A77" s="1"/>
      <c r="B77" s="14"/>
      <c r="C77" s="78"/>
      <c r="D77" s="16"/>
      <c r="E77" s="1"/>
      <c r="H77" s="42"/>
      <c r="I77" s="1"/>
      <c r="J77" s="1"/>
      <c r="L77" s="30"/>
    </row>
    <row r="78" spans="1:12" ht="0" hidden="1" customHeight="1">
      <c r="A78" s="25" t="e">
        <f>#REF!</f>
        <v>#REF!</v>
      </c>
    </row>
    <row r="79" spans="1:12" ht="0" hidden="1" customHeight="1">
      <c r="A79" s="25" t="e">
        <f>#REF!</f>
        <v>#REF!</v>
      </c>
    </row>
    <row r="80" spans="1:12" ht="0" hidden="1" customHeight="1">
      <c r="A80" s="25" t="e">
        <f>#REF!</f>
        <v>#REF!</v>
      </c>
    </row>
    <row r="81" spans="1:1" ht="0" hidden="1" customHeight="1">
      <c r="A81" s="25" t="e">
        <f>#REF!</f>
        <v>#REF!</v>
      </c>
    </row>
    <row r="82" spans="1:1" ht="0" hidden="1" customHeight="1">
      <c r="A82" s="25" t="e">
        <f>#REF!</f>
        <v>#REF!</v>
      </c>
    </row>
    <row r="83" spans="1:1" ht="0" hidden="1" customHeight="1">
      <c r="A83" s="25" t="e">
        <f>#REF!</f>
        <v>#REF!</v>
      </c>
    </row>
    <row r="84" spans="1:1" ht="0" hidden="1" customHeight="1">
      <c r="A84" s="25" t="e">
        <f>#REF!</f>
        <v>#REF!</v>
      </c>
    </row>
  </sheetData>
  <dataValidations count="2">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ignoredErrors>
    <ignoredError sqref="E37"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C33 C69:C75 C36:C50 C20:C31 C56:C58 C64:C67 C60 C62 C53:C54</xm:sqref>
        </x14:dataValidation>
        <x14:dataValidation type="list" allowBlank="1" showInputMessage="1" showErrorMessage="1" xr:uid="{06173091-EA93-48A5-BB07-55BB51E54BF5}">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37" zoomScale="80" zoomScaleNormal="80" workbookViewId="0">
      <selection activeCell="D36" sqref="D36"/>
    </sheetView>
  </sheetViews>
  <sheetFormatPr baseColWidth="10" defaultColWidth="0" defaultRowHeight="0" customHeight="1" zeroHeight="1"/>
  <cols>
    <col min="1" max="1" width="8.25" customWidth="1"/>
    <col min="2" max="2" width="55.125" style="1" customWidth="1"/>
    <col min="3" max="3" width="18.875" style="14" customWidth="1"/>
    <col min="4" max="4" width="55.75" style="15" customWidth="1"/>
    <col min="5" max="5" width="32" style="16" customWidth="1"/>
    <col min="6" max="6" width="30.75"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c r="A1" t="s">
        <v>1530</v>
      </c>
    </row>
    <row r="2" spans="1:10" ht="36" customHeight="1">
      <c r="A2" s="175" t="s">
        <v>1455</v>
      </c>
      <c r="B2" s="175"/>
      <c r="C2" s="176"/>
      <c r="D2" s="328"/>
      <c r="E2" s="177"/>
      <c r="F2" s="177" t="str">
        <f>'Auto Responses'!$A$36</f>
        <v>Version 4.1.0</v>
      </c>
      <c r="J2" s="1"/>
    </row>
    <row r="3" spans="1:10" s="1" customFormat="1" ht="29" customHeight="1">
      <c r="A3" s="44" t="s">
        <v>996</v>
      </c>
      <c r="B3" s="45"/>
      <c r="C3" s="73">
        <f>'START HERE'!$C$3</f>
        <v>46216</v>
      </c>
      <c r="D3" s="329"/>
      <c r="E3" s="43"/>
      <c r="F3" s="57"/>
      <c r="I3" s="42"/>
    </row>
    <row r="4" spans="1:10" s="1" customFormat="1" ht="36" customHeight="1">
      <c r="A4" s="17" t="s">
        <v>921</v>
      </c>
      <c r="B4" s="18"/>
      <c r="C4" s="19"/>
      <c r="D4" s="20"/>
      <c r="E4" s="21"/>
      <c r="F4" s="21"/>
      <c r="I4" s="42"/>
    </row>
    <row r="5" spans="1:10" s="1" customFormat="1" ht="19.5" customHeight="1">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c r="A8" s="49" t="str">
        <f>HLOOKUP($A$4,'Auto Responses'!$D$2:$D$8,5,0)&amp;""</f>
        <v>4. DO NOT complete any fields in the "Evaluation" sheets or the "Analyst Notes" column.</v>
      </c>
      <c r="B8" s="22"/>
      <c r="C8" s="74"/>
      <c r="D8" s="330"/>
      <c r="E8" s="22"/>
      <c r="F8" s="280"/>
      <c r="I8" s="42"/>
    </row>
    <row r="9" spans="1:10" s="1" customFormat="1" ht="19.5" customHeight="1">
      <c r="A9" s="49" t="str">
        <f>HLOOKUP($A$4,'Auto Responses'!$D$2:$D$8,6,0)&amp;""</f>
        <v>5. Return the completed file to institutions.</v>
      </c>
      <c r="B9" s="22"/>
      <c r="C9" s="74"/>
      <c r="D9" s="330"/>
      <c r="E9" s="22"/>
      <c r="F9" s="280"/>
      <c r="I9" s="42"/>
    </row>
    <row r="10" spans="1:10" s="1" customFormat="1" ht="19.5" customHeight="1">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c r="A11" s="264" t="str">
        <f>HLOOKUP($A$4,'Auto Responses'!$D$2:$D$9,8,0)&amp;""</f>
        <v>For full instructions, please visit educause.edu/HECVAT</v>
      </c>
      <c r="B11" s="22"/>
      <c r="C11" s="74"/>
      <c r="D11" s="330"/>
      <c r="E11" s="22"/>
      <c r="F11" s="281"/>
      <c r="I11" s="42"/>
    </row>
    <row r="12" spans="1:10" s="1" customFormat="1" ht="36" customHeight="1">
      <c r="A12" s="70" t="str">
        <f>VLOOKUP(LEFT($A13,4),'Auto Responses'!$N$4:$O$38,2,0)&amp;""</f>
        <v xml:space="preserve"> General Information</v>
      </c>
      <c r="B12" s="18"/>
      <c r="C12" s="19" t="s">
        <v>1583</v>
      </c>
      <c r="D12" s="331"/>
      <c r="E12" s="23"/>
      <c r="F12" s="23"/>
      <c r="I12" s="42"/>
      <c r="J12" s="42"/>
    </row>
    <row r="13" spans="1:10" s="1" customFormat="1" ht="22.25" customHeight="1">
      <c r="A13" s="25" t="s">
        <v>21</v>
      </c>
      <c r="B13" s="26" t="str">
        <f>VLOOKUP($A13,Questions!$A$2:$X$333,2,0)&amp;""</f>
        <v>Solution Provider Name</v>
      </c>
      <c r="C13" s="83" t="str">
        <f>VLOOKUP($A13,'START HERE'!$A$13:$C$21,3,0)&amp;""</f>
        <v>America's Software Corporation</v>
      </c>
      <c r="D13" s="39"/>
      <c r="E13" s="39"/>
      <c r="F13" s="57"/>
      <c r="I13" s="42"/>
      <c r="J13" s="42"/>
    </row>
    <row r="14" spans="1:10" s="1" customFormat="1" ht="22.25" customHeight="1">
      <c r="A14" s="25" t="s">
        <v>24</v>
      </c>
      <c r="B14" s="26" t="str">
        <f>VLOOKUP($A14,Questions!$A$2:$X$333,2,0)&amp;""</f>
        <v>Solution Name</v>
      </c>
      <c r="C14" s="83" t="str">
        <f>VLOOKUP($A14,'START HERE'!$A$13:$C$21,3,0)&amp;""</f>
        <v>TalEval, Discovery Pro</v>
      </c>
      <c r="D14" s="39"/>
      <c r="E14" s="39"/>
      <c r="F14" s="57"/>
      <c r="I14" s="42"/>
      <c r="J14" s="42"/>
    </row>
    <row r="15" spans="1:10" s="1" customFormat="1" ht="22.25" customHeight="1">
      <c r="A15" s="25" t="s">
        <v>25</v>
      </c>
      <c r="B15" s="26" t="str">
        <f>VLOOKUP($A15,Questions!$A$2:$X$333,2,0)&amp;""</f>
        <v>Solution Description</v>
      </c>
      <c r="C15" s="83" t="str">
        <f>VLOOKUP($A15,'START HERE'!$A$13:$C$21,3,0)&amp;""</f>
        <v>Dental Hygiene/COS Student  Tracking</v>
      </c>
      <c r="D15" s="39"/>
      <c r="E15" s="39"/>
      <c r="F15" s="57"/>
      <c r="I15" s="42"/>
      <c r="J15" s="42"/>
    </row>
    <row r="16" spans="1:10" s="1" customFormat="1" ht="22.25" customHeight="1" thickBot="1">
      <c r="A16" s="25" t="s">
        <v>30</v>
      </c>
      <c r="B16" s="26" t="str">
        <f>VLOOKUP($A16,Questions!$A$2:$X$333,2,0)&amp;""</f>
        <v>Country of Company Headquarters</v>
      </c>
      <c r="C16" s="83" t="str">
        <f>VLOOKUP($A16,'START HERE'!$A$13:$C$21,3,0)&amp;""</f>
        <v>USA</v>
      </c>
      <c r="D16" s="39"/>
      <c r="E16" s="39"/>
      <c r="F16" s="57"/>
      <c r="I16" s="42"/>
      <c r="J16" s="42"/>
    </row>
    <row r="17" spans="1:10" s="1" customFormat="1" ht="37.25" customHeight="1" thickBot="1">
      <c r="A17" s="70" t="str">
        <f>VLOOKUP(LEFT($A18,4),'Auto Responses'!$N$4:$O$38,2,0)&amp;""</f>
        <v xml:space="preserve"> Required Questions</v>
      </c>
      <c r="B17" s="29"/>
      <c r="C17" s="19" t="s">
        <v>1583</v>
      </c>
      <c r="D17" s="19"/>
      <c r="E17" s="38" t="s">
        <v>904</v>
      </c>
      <c r="F17" s="194" t="s">
        <v>905</v>
      </c>
      <c r="I17" s="42"/>
      <c r="J17" s="42"/>
    </row>
    <row r="18" spans="1:10" s="1" customFormat="1" ht="54" customHeight="1" thickBot="1">
      <c r="A18" s="25" t="s">
        <v>51</v>
      </c>
      <c r="B18" s="24" t="str">
        <f>VLOOKUP($A18,Questions!$A$2:$X$333,2,0)</f>
        <v>Does your product or service have an interface?</v>
      </c>
      <c r="C18" s="79" t="str">
        <f>VLOOKUP($A18,'START HERE'!$A$23:$F$36,3,0)&amp;""</f>
        <v>yes</v>
      </c>
      <c r="D18" s="332" t="str">
        <f>VLOOKUP($A18,'START HERE'!$A$23:$F$36,4,0)&amp;""</f>
        <v/>
      </c>
      <c r="E18" s="174" t="str">
        <f>IF($C18="Yes",VLOOKUP($A18,Questions!$A$2:$X$333,17,0)&amp;"",IF($C18="No",VLOOKUP($A18,Questions!$A$2:$X$333,16,0)&amp;"",VLOOKUP($A18,Questions!$A$2:$X$333,15,0)&amp;""))</f>
        <v>DO complete the IT Accessibility worksheet.</v>
      </c>
      <c r="F18" s="208" t="str">
        <f>VLOOKUP($A18,'Institution Evaluation'!$A$56:$F$346,6,0)&amp;""</f>
        <v/>
      </c>
      <c r="G18" s="255" t="s">
        <v>1531</v>
      </c>
      <c r="I18" s="42"/>
      <c r="J18" s="42"/>
    </row>
    <row r="19" spans="1:10" s="1" customFormat="1" ht="37.25" customHeight="1" thickBot="1">
      <c r="A19" s="70" t="str">
        <f>VLOOKUP(LEFT($A20,4),'Auto Responses'!$N$4:$O$38,2,0)&amp;""</f>
        <v xml:space="preserve"> IT Accessibility</v>
      </c>
      <c r="B19" s="29"/>
      <c r="C19" s="19" t="s">
        <v>1583</v>
      </c>
      <c r="D19" s="19" t="s">
        <v>72</v>
      </c>
      <c r="E19" s="38" t="s">
        <v>904</v>
      </c>
      <c r="F19" s="194" t="s">
        <v>905</v>
      </c>
      <c r="I19" s="42"/>
      <c r="J19" s="42"/>
    </row>
    <row r="20" spans="1:10" s="1" customFormat="1" ht="30" customHeight="1">
      <c r="A20" s="25" t="s">
        <v>93</v>
      </c>
      <c r="B20" s="24" t="str">
        <f>VLOOKUP($A20,Questions!$A$2:$X$333,2,0)</f>
        <v>Solution Provider Accessibility Contact Name</v>
      </c>
      <c r="C20" s="84" t="s">
        <v>1646</v>
      </c>
      <c r="D20" s="333"/>
      <c r="E20" s="174" t="str">
        <f>IF($C$18="No",'Auto Responses'!$A$4,IF($C20="Yes",VLOOKUP($A20,Questions!$A$2:$X$333,17,0)&amp;"",IF($C20="No",VLOOKUP($A20,Questions!$A$2:$X$333,16,0)&amp;"",VLOOKUP($A20,Questions!$A$2:$X$333,15,0)&amp;"")))</f>
        <v/>
      </c>
      <c r="F20" s="208" t="str">
        <f>VLOOKUP($A20,'Institution Evaluation'!$A$56:$F$346,6,0)&amp;""</f>
        <v/>
      </c>
      <c r="I20" s="42"/>
      <c r="J20" s="42"/>
    </row>
    <row r="21" spans="1:10" s="1" customFormat="1" ht="30" customHeight="1">
      <c r="A21" s="25" t="s">
        <v>94</v>
      </c>
      <c r="B21" s="24" t="str">
        <f>VLOOKUP($A21,Questions!$A$2:$X$333,2,0)</f>
        <v>Solution Provider Accessibility Contact Title</v>
      </c>
      <c r="C21" s="84" t="s">
        <v>1647</v>
      </c>
      <c r="D21" s="333"/>
      <c r="E21" s="174" t="str">
        <f>IF($C$18="No",'Auto Responses'!$A$4,IF($C21="Yes",VLOOKUP($A21,Questions!$A$2:$X$333,17,0)&amp;"",IF($C21="No",VLOOKUP($A21,Questions!$A$2:$X$333,16,0)&amp;"",VLOOKUP($A21,Questions!$A$2:$X$333,15,0)&amp;"")))</f>
        <v/>
      </c>
      <c r="F21" s="208" t="str">
        <f>VLOOKUP($A21,'Institution Evaluation'!$A$56:$F$346,6,0)&amp;""</f>
        <v/>
      </c>
      <c r="I21" s="42"/>
      <c r="J21" s="42"/>
    </row>
    <row r="22" spans="1:10" s="1" customFormat="1" ht="30" customHeight="1">
      <c r="A22" s="25" t="s">
        <v>95</v>
      </c>
      <c r="B22" s="24" t="str">
        <f>VLOOKUP($A22,Questions!$A$2:$X$333,2,0)</f>
        <v>Solution Provider Accessibility Contact Email</v>
      </c>
      <c r="C22" s="362" t="s">
        <v>1723</v>
      </c>
      <c r="D22" s="333"/>
      <c r="E22" s="174" t="str">
        <f>IF($C$18="No",'Auto Responses'!$A$4,IF($C22="Yes",VLOOKUP($A22,Questions!$A$2:$X$333,17,0)&amp;"",IF($C22="No",VLOOKUP($A22,Questions!$A$2:$X$333,16,0)&amp;"",VLOOKUP($A22,Questions!$A$2:$X$333,15,0)&amp;"")))</f>
        <v/>
      </c>
      <c r="F22" s="208" t="str">
        <f>VLOOKUP($A22,'Institution Evaluation'!$A$56:$F$346,6,0)&amp;""</f>
        <v/>
      </c>
      <c r="I22" s="42"/>
      <c r="J22" s="42"/>
    </row>
    <row r="23" spans="1:10" s="1" customFormat="1" ht="30" customHeight="1">
      <c r="A23" s="25" t="s">
        <v>96</v>
      </c>
      <c r="B23" s="24" t="str">
        <f>VLOOKUP($A23,Questions!$A$2:$X$333,2,0)</f>
        <v>Solution Provider Accessibility Contact Phone Number</v>
      </c>
      <c r="C23" s="84" t="s">
        <v>1724</v>
      </c>
      <c r="D23" s="333"/>
      <c r="E23" s="174" t="str">
        <f>IF($C$18="No",'Auto Responses'!$A$4,IF($C23="Yes",VLOOKUP($A23,Questions!$A$2:$X$333,17,0)&amp;"",IF($C23="No",VLOOKUP($A23,Questions!$A$2:$X$333,16,0)&amp;"",VLOOKUP($A23,Questions!$A$2:$X$333,15,0)&amp;"")))</f>
        <v/>
      </c>
      <c r="F23" s="208" t="str">
        <f>VLOOKUP($A23,'Institution Evaluation'!$A$56:$F$346,6,0)&amp;""</f>
        <v/>
      </c>
      <c r="I23" s="42"/>
      <c r="J23" s="42"/>
    </row>
    <row r="24" spans="1:10" s="1" customFormat="1" ht="30" customHeight="1">
      <c r="A24" s="25" t="s">
        <v>97</v>
      </c>
      <c r="B24" s="24" t="str">
        <f>VLOOKUP($A24,Questions!$A$2:$X$333,2,0)</f>
        <v>Web Link to Accessibility Statement or VPAT</v>
      </c>
      <c r="C24" s="84"/>
      <c r="D24" s="333" t="s">
        <v>1725</v>
      </c>
      <c r="E24" s="174" t="str">
        <f>IF($C$18="No",'Auto Responses'!$A$4,IF($C24="Yes",VLOOKUP($A24,Questions!$A$2:$X$333,17,0)&amp;"",IF($C24="No",VLOOKUP($A24,Questions!$A$2:$X$333,16,0)&amp;"",VLOOKUP($A24,Questions!$A$2:$X$333,15,0)&amp;"")))</f>
        <v>VPAT can also be added as an attachment</v>
      </c>
      <c r="F24" s="208" t="str">
        <f>VLOOKUP($A24,'Institution Evaluation'!$A$56:$F$346,6,0)&amp;""</f>
        <v/>
      </c>
      <c r="I24" s="42"/>
      <c r="J24" s="42"/>
    </row>
    <row r="25" spans="1:10" s="1" customFormat="1" ht="136.5" customHeight="1">
      <c r="A25" s="25" t="s">
        <v>101</v>
      </c>
      <c r="B25" s="24" t="str">
        <f>VLOOKUP($A25,Questions!$A$2:$X$333,2,0)</f>
        <v>Has a VPAT or ACR been created or updated for the solution and version under consideration within the past 12 months?*</v>
      </c>
      <c r="C25" s="27" t="s">
        <v>1652</v>
      </c>
      <c r="D25" s="333" t="s">
        <v>1785</v>
      </c>
      <c r="E25" s="174" t="str">
        <f>IF($C$18="No",'Auto Responses'!$A$4,IF($C25="Yes",VLOOKUP($A25,Questions!$A$2:$X$333,17,0)&amp;"",IF($C25="No",VLOOKUP($A25,Questions!$A$2:$X$333,16,0)&amp;"",VLOOKUP($A25,Questions!$A$2:$X$333,15,0)&amp;"")))</f>
        <v>State the date the VPAT was completed. Include this VPAT in your submission and/or link to its web location.</v>
      </c>
      <c r="F25" s="208" t="str">
        <f>VLOOKUP($A25,'Institution Evaluation'!$A$56:$F$346,6,0)&amp;""</f>
        <v/>
      </c>
      <c r="I25" s="42"/>
      <c r="J25" s="42"/>
    </row>
    <row r="26" spans="1:10" s="1" customFormat="1" ht="82.5" customHeight="1">
      <c r="A26" s="25" t="s">
        <v>103</v>
      </c>
      <c r="B26" s="24" t="str">
        <f>VLOOKUP($A26,Questions!$A$2:$X$333,2,0)</f>
        <v>Will your company agree to meet your stated accessibility standard or WCAG 2.1 AA as part of your contractual agreement for the solution?*</v>
      </c>
      <c r="C26" s="27" t="s">
        <v>1652</v>
      </c>
      <c r="D26" s="333"/>
      <c r="E26" s="174" t="str">
        <f>IF($C$18="No",'Auto Responses'!$A$4,IF($C26="Yes",VLOOKUP($A26,Questions!$A$2:$X$333,17,0)&amp;"",IF($C26="No",VLOOKUP($A26,Questions!$A$2:$X$333,16,0)&amp;"",VLOOKUP($A26,Questions!$A$2:$X$333,15,0)&amp;"")))</f>
        <v/>
      </c>
      <c r="F26" s="208" t="str">
        <f>VLOOKUP($A26,'Institution Evaluation'!$A$56:$F$346,6,0)&amp;""</f>
        <v/>
      </c>
      <c r="I26" s="42"/>
      <c r="J26" s="42"/>
    </row>
    <row r="27" spans="1:10" s="1" customFormat="1" ht="161.25" customHeight="1">
      <c r="A27" s="25" t="s">
        <v>106</v>
      </c>
      <c r="B27" s="24" t="str">
        <f>VLOOKUP($A27,Questions!$A$2:$X$333,2,0)</f>
        <v>Does the solution substantially conform to WCAG 2.1 AA?*</v>
      </c>
      <c r="C27" s="27" t="s">
        <v>1652</v>
      </c>
      <c r="D27" s="364" t="s">
        <v>1786</v>
      </c>
      <c r="E27" s="174" t="str">
        <f>IF($C$18="No",'Auto Responses'!$A$4,IF($C27="Yes",VLOOKUP($A27,Questions!$A$2:$X$333,17,0)&amp;"",IF($C27="No",VLOOKUP($A27,Questions!$A$2:$X$333,16,0)&amp;"",VLOOKUP($A27,Questions!$A$2:$X$333,15,0)&amp;"")))</f>
        <v/>
      </c>
      <c r="F27" s="208" t="str">
        <f>VLOOKUP($A27,'Institution Evaluation'!$A$56:$F$346,6,0)&amp;""</f>
        <v/>
      </c>
      <c r="I27" s="42"/>
      <c r="J27" s="42"/>
    </row>
    <row r="28" spans="1:10" s="1" customFormat="1" ht="104.25" customHeight="1">
      <c r="A28" s="25" t="s">
        <v>108</v>
      </c>
      <c r="B28" s="24" t="str">
        <f>VLOOKUP($A28,Questions!$A$2:$X$333,2,0)</f>
        <v>Do you have a documented and implemented process for reporting and tracking accessibility issues?*</v>
      </c>
      <c r="C28" s="27" t="s">
        <v>149</v>
      </c>
      <c r="D28" s="364" t="s">
        <v>1787</v>
      </c>
      <c r="E28" s="174" t="str">
        <f>IF($C$18="No",'Auto Responses'!$A$4,IF($C28="Yes",VLOOKUP($A28,Questions!$A$2:$X$333,17,0)&amp;"",IF($C28="No",VLOOKUP($A28,Questions!$A$2:$X$333,16,0)&amp;"",VLOOKUP($A28,Questions!$A$2:$X$333,15,0)&amp;"")))</f>
        <v>State how users should report accessibility issues. Describe any expected related process updates.</v>
      </c>
      <c r="F28" s="208" t="str">
        <f>VLOOKUP($A28,'Institution Evaluation'!$A$56:$F$346,6,0)&amp;""</f>
        <v/>
      </c>
      <c r="I28" s="42"/>
      <c r="J28" s="42"/>
    </row>
    <row r="29" spans="1:10" s="1" customFormat="1" ht="104.25" customHeight="1">
      <c r="A29" s="25" t="s">
        <v>111</v>
      </c>
      <c r="B29" s="24" t="str">
        <f>VLOOKUP($A29,Questions!$A$2:$X$333,2,0)</f>
        <v>Do you have documentation to support the accessibility features of your solution?</v>
      </c>
      <c r="C29" s="27" t="s">
        <v>1652</v>
      </c>
      <c r="D29" s="333" t="s">
        <v>1727</v>
      </c>
      <c r="E29" s="174" t="str">
        <f>IF($C$18="No",'Auto Responses'!$A$4,IF($C29="Yes",VLOOKUP($A29,Questions!$A$2:$X$333,17,0)&amp;"",IF($C29="No",VLOOKUP($A29,Questions!$A$2:$X$333,16,0)&amp;"",VLOOKUP($A29,Questions!$A$2:$X$333,15,0)&amp;"")))</f>
        <v>Provide examples with links where possible.</v>
      </c>
      <c r="F29" s="208" t="str">
        <f>VLOOKUP($A29,'Institution Evaluation'!$A$56:$F$346,6,0)&amp;""</f>
        <v/>
      </c>
      <c r="I29" s="42"/>
      <c r="J29" s="42"/>
    </row>
    <row r="30" spans="1:10" s="1" customFormat="1" ht="93.75" customHeight="1">
      <c r="A30" s="25" t="s">
        <v>112</v>
      </c>
      <c r="B30" s="24" t="str">
        <f>VLOOKUP($A30,Questions!$A$2:$X$333,2,0)</f>
        <v>Has a third-party expert conducted an audit of the most recent version of your solution?</v>
      </c>
      <c r="C30" s="27" t="s">
        <v>40</v>
      </c>
      <c r="D30" s="333" t="s">
        <v>1788</v>
      </c>
      <c r="E30" s="174" t="str">
        <f>IF($C$18="No",'Auto Responses'!$A$4,IF($C30="Yes",VLOOKUP($A30,Questions!$A$2:$X$333,17,0)&amp;"",IF($C30="No",VLOOKUP($A30,Questions!$A$2:$X$333,16,0)&amp;"",VLOOKUP($A30,Questions!$A$2:$X$333,15,0)&amp;"")))</f>
        <v>State when the audit was conducted and by whom. Include the results in your submission and/or link to its web location.</v>
      </c>
      <c r="F30" s="208" t="str">
        <f>VLOOKUP($A30,'Institution Evaluation'!$A$56:$F$346,6,0)&amp;""</f>
        <v/>
      </c>
      <c r="I30" s="42"/>
      <c r="J30" s="42"/>
    </row>
    <row r="31" spans="1:10" s="1" customFormat="1" ht="120" customHeight="1">
      <c r="A31" s="25" t="s">
        <v>113</v>
      </c>
      <c r="B31" s="24" t="str">
        <f>VLOOKUP($A31,Questions!$A$2:$X$333,2,0)</f>
        <v>Do you have a documented and implemented process for verifying accessibility conformance?</v>
      </c>
      <c r="C31" s="27" t="s">
        <v>149</v>
      </c>
      <c r="D31" s="364" t="s">
        <v>1728</v>
      </c>
      <c r="E31" s="174" t="str">
        <f>IF($C$18="No",'Auto Responses'!$A$4,IF($C31="Yes",VLOOKUP($A31,Questions!$A$2:$X$333,17,0)&amp;"",IF($C31="No",VLOOKUP($A31,Questions!$A$2:$X$333,16,0)&amp;"",VLOOKUP($A31,Questions!$A$2:$X$333,15,0)&amp;"")))</f>
        <v>Summarize how you ensure accessible solutions. Provide plans to develop documented processes to validate accessibility.</v>
      </c>
      <c r="F31" s="208" t="str">
        <f>VLOOKUP($A31,'Institution Evaluation'!$A$56:$F$346,6,0)&amp;""</f>
        <v/>
      </c>
      <c r="I31" s="42"/>
      <c r="J31" s="42"/>
    </row>
    <row r="32" spans="1:10" s="1" customFormat="1" ht="108" customHeight="1">
      <c r="A32" s="25" t="s">
        <v>114</v>
      </c>
      <c r="B32" s="24" t="str">
        <f>VLOOKUP($A32,Questions!$A$2:$X$333,2,0)</f>
        <v>Have you adopted a technical or legal standard of conformance for the solution?</v>
      </c>
      <c r="C32" s="27" t="s">
        <v>1652</v>
      </c>
      <c r="D32" s="364" t="s">
        <v>1729</v>
      </c>
      <c r="E32" s="174" t="str">
        <f>IF($C$18="No",'Auto Responses'!$A$4,IF($C32="Yes",VLOOKUP($A32,Questions!$A$2:$X$333,17,0)&amp;"",IF($C32="No",VLOOKUP($A32,Questions!$A$2:$X$333,16,0)&amp;"",VLOOKUP($A32,Questions!$A$2:$X$333,15,0)&amp;"")))</f>
        <v>Indicate which primary standards and all additional standards the solution meets.</v>
      </c>
      <c r="F32" s="208" t="str">
        <f>VLOOKUP($A32,'Institution Evaluation'!$A$56:$F$346,6,0)&amp;""</f>
        <v/>
      </c>
      <c r="I32" s="42"/>
      <c r="J32" s="42"/>
    </row>
    <row r="33" spans="1:12" s="1" customFormat="1" ht="228" customHeight="1">
      <c r="A33" s="25" t="s">
        <v>116</v>
      </c>
      <c r="B33" s="24" t="str">
        <f>VLOOKUP($A33,Questions!$A$2:$X$333,2,0)</f>
        <v>Can you provide a current, detailed accessibility roadmap with delivery timelines?</v>
      </c>
      <c r="C33" s="27" t="s">
        <v>149</v>
      </c>
      <c r="D33" s="364" t="s">
        <v>1731</v>
      </c>
      <c r="E33" s="174" t="str">
        <f>IF($C$18="No",'Auto Responses'!$A$4,IF($C33="Yes",VLOOKUP($A33,Questions!$A$2:$X$333,17,0)&amp;"",IF($C33="No",VLOOKUP($A33,Questions!$A$2:$X$333,16,0)&amp;"",VLOOKUP($A33,Questions!$A$2:$X$333,15,0)&amp;"")))</f>
        <v>Please provide any plans to develop and share an accessibility roadmap in the future.</v>
      </c>
      <c r="F33" s="208" t="str">
        <f>VLOOKUP($A33,'Institution Evaluation'!$A$56:$F$346,6,0)&amp;""</f>
        <v/>
      </c>
      <c r="I33" s="42"/>
      <c r="J33" s="42"/>
    </row>
    <row r="34" spans="1:12" s="1" customFormat="1" ht="213" customHeight="1">
      <c r="A34" s="25" t="s">
        <v>120</v>
      </c>
      <c r="B34" s="24" t="str">
        <f>VLOOKUP($A34,Questions!$A$2:$X$333,2,0)</f>
        <v>Do you expect your staff to maintain a current skill set in IT accessibility?</v>
      </c>
      <c r="C34" s="27" t="s">
        <v>1652</v>
      </c>
      <c r="D34" s="364" t="s">
        <v>1789</v>
      </c>
      <c r="E34" s="174" t="str">
        <f>IF($C$18="No",'Auto Responses'!$A$4,IF($C34="Yes",VLOOKUP($A34,Questions!$A$2:$X$333,17,0)&amp;"",IF($C34="No",VLOOKUP($A34,Questions!$A$2:$X$333,16,0)&amp;"",VLOOKUP($A34,Questions!$A$2:$X$333,15,0)&amp;"")))</f>
        <v>Provide any further relevant information about how expertise is maintained; include any accessibility certifications staff may hold (e.g., IAAP WAS &lt;https://www.accessibilityassociation.org/certifications&gt; or DHS Trusted Tester &lt;https://section508.gov/test/trusted-tester&gt;).</v>
      </c>
      <c r="F34" s="208" t="str">
        <f>VLOOKUP($A34,'Institution Evaluation'!$A$56:$F$346,6,0)&amp;""</f>
        <v/>
      </c>
      <c r="I34" s="42"/>
      <c r="J34" s="42"/>
    </row>
    <row r="35" spans="1:12" s="1" customFormat="1" ht="213" customHeight="1">
      <c r="A35" s="25" t="s">
        <v>123</v>
      </c>
      <c r="B35" s="24" t="str">
        <f>VLOOKUP($A35,Questions!$A$2:$X$333,2,0)</f>
        <v>Do you have documented processes and procedures for implementing accessibility into your development lifecycle?</v>
      </c>
      <c r="C35" s="27" t="s">
        <v>1652</v>
      </c>
      <c r="D35" s="372" t="s">
        <v>1732</v>
      </c>
      <c r="E35" s="174" t="str">
        <f>IF($C$18="No",'Auto Responses'!$A$4,IF($C35="Yes",VLOOKUP($A35,Questions!$A$2:$X$333,17,0)&amp;"",IF($C35="No",VLOOKUP($A35,Questions!$A$2:$X$333,16,0)&amp;"",VLOOKUP($A35,Questions!$A$2:$X$333,15,0)&amp;"")))</f>
        <v>Provide further details in Additional Information.</v>
      </c>
      <c r="F35" s="208" t="str">
        <f>VLOOKUP($A35,'Institution Evaluation'!$A$56:$F$346,6,0)&amp;""</f>
        <v/>
      </c>
      <c r="I35" s="42"/>
      <c r="J35" s="42"/>
    </row>
    <row r="36" spans="1:12" s="1" customFormat="1" ht="38.25" customHeight="1">
      <c r="A36" s="25" t="s">
        <v>126</v>
      </c>
      <c r="B36" s="24" t="str">
        <f>VLOOKUP($A36,Questions!$A$2:$X$333,2,0)</f>
        <v>Can all functions of the application or service be performed using only the keyboard?</v>
      </c>
      <c r="C36" s="27" t="s">
        <v>40</v>
      </c>
      <c r="D36" s="333" t="s">
        <v>1790</v>
      </c>
      <c r="E36" s="174" t="str">
        <f>IF($C$18="No",'Auto Responses'!$A$4,IF($C36="Yes",VLOOKUP($A36,Questions!$A$2:$X$333,17,0)&amp;"",IF($C36="No",VLOOKUP($A36,Questions!$A$2:$X$333,16,0)&amp;"",VLOOKUP($A36,Questions!$A$2:$X$333,15,0)&amp;"")))</f>
        <v>State when and on which platform this was verified.</v>
      </c>
      <c r="F36" s="208" t="str">
        <f>VLOOKUP($A36,'Institution Evaluation'!$A$56:$F$346,6,0)&amp;""</f>
        <v/>
      </c>
      <c r="I36" s="42"/>
      <c r="J36" s="42"/>
    </row>
    <row r="37" spans="1:12" s="1" customFormat="1" ht="127.5" customHeight="1">
      <c r="A37" s="25" t="s">
        <v>129</v>
      </c>
      <c r="B37" s="24" t="str">
        <f>VLOOKUP($A37,Questions!$A$2:$X$333,2,0)</f>
        <v>Does your product rely on activating a special "accessibility mode," a "lite version," or using an alternate interface (including “overlay” or AI-based alternates)  for accessibility purposes?</v>
      </c>
      <c r="C37" s="27" t="s">
        <v>149</v>
      </c>
      <c r="D37" s="333"/>
      <c r="E37" s="174" t="str">
        <f>IF($C$18="No",'Auto Responses'!$A$4,IF($C37="Yes",VLOOKUP($A37,Questions!$A$2:$X$333,17,0)&amp;"",IF($C37="No",VLOOKUP($A37,Questions!$A$2:$X$333,16,0)&amp;"",VLOOKUP($A37,Questions!$A$2:$X$333,15,0)&amp;"")))</f>
        <v/>
      </c>
      <c r="F37" s="208" t="str">
        <f>VLOOKUP($A37,'Institution Evaluation'!$A$56:$F$346,6,0)&amp;""</f>
        <v/>
      </c>
      <c r="G37" s="255" t="s">
        <v>1531</v>
      </c>
      <c r="I37" s="42"/>
      <c r="J37" s="42"/>
    </row>
    <row r="38" spans="1:12" s="178" customFormat="1" ht="42" customHeight="1">
      <c r="A38" s="285" t="s">
        <v>1593</v>
      </c>
      <c r="B38" s="271"/>
      <c r="C38" s="272"/>
      <c r="D38" s="334"/>
      <c r="E38" s="274"/>
      <c r="F38" s="275"/>
      <c r="G38" s="276"/>
      <c r="I38" s="179"/>
      <c r="J38" s="179"/>
    </row>
    <row r="39" spans="1:12" s="1" customFormat="1" ht="15" hidden="1" customHeight="1">
      <c r="A39"/>
      <c r="C39" s="14"/>
      <c r="D39" s="15"/>
      <c r="E39" s="16"/>
      <c r="I39" s="42"/>
      <c r="J39" s="42"/>
    </row>
    <row r="40" spans="1:12" ht="15" hidden="1" customHeight="1">
      <c r="A40" s="1"/>
      <c r="B40" s="14"/>
      <c r="C40" s="78"/>
      <c r="D40" s="16"/>
      <c r="E40" s="1"/>
      <c r="H40" s="42"/>
      <c r="I40" s="1"/>
      <c r="J40" s="1"/>
      <c r="L40"/>
    </row>
    <row r="41" spans="1:12" ht="0" hidden="1" customHeight="1">
      <c r="A41" s="25" t="e">
        <f>#REF!</f>
        <v>#REF!</v>
      </c>
    </row>
    <row r="42" spans="1:12" ht="0" hidden="1" customHeight="1">
      <c r="A42" s="25" t="e">
        <f>#REF!</f>
        <v>#REF!</v>
      </c>
    </row>
    <row r="43" spans="1:12" ht="0" hidden="1" customHeight="1">
      <c r="A43" s="25" t="e">
        <f>#REF!</f>
        <v>#REF!</v>
      </c>
    </row>
    <row r="44" spans="1:12" ht="0" hidden="1" customHeight="1">
      <c r="A44" s="25" t="e">
        <f>#REF!</f>
        <v>#REF!</v>
      </c>
    </row>
    <row r="45" spans="1:12" ht="0" hidden="1" customHeight="1">
      <c r="A45" s="25" t="e">
        <f>#REF!</f>
        <v>#REF!</v>
      </c>
    </row>
    <row r="46" spans="1:12" ht="0" hidden="1" customHeight="1">
      <c r="A46" s="25" t="e">
        <f>#REF!</f>
        <v>#REF!</v>
      </c>
    </row>
    <row r="47" spans="1:12" ht="0" hidden="1" customHeight="1">
      <c r="A47" s="25"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 ref="C22" r:id="rId2" xr:uid="{56561545-C339-5442-A17B-03E3C7A81F48}"/>
    <hyperlink ref="D35" r:id="rId3" xr:uid="{E669674A-02FE-E44E-9AC0-1D45DFF3E5B5}"/>
  </hyperlinks>
  <pageMargins left="0.75" right="0.75" top="1" bottom="1" header="0.5" footer="0.5"/>
  <pageSetup orientation="landscape" r:id="rId4"/>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1048576" zoomScale="80" zoomScaleNormal="80" workbookViewId="0">
      <selection activeCell="E26" sqref="E26"/>
    </sheetView>
  </sheetViews>
  <sheetFormatPr baseColWidth="10" defaultColWidth="0" defaultRowHeight="0" customHeight="1" zeroHeight="1"/>
  <cols>
    <col min="1" max="1" width="8.25" customWidth="1"/>
    <col min="2" max="2" width="55.125" style="1" customWidth="1"/>
    <col min="3" max="3" width="18.875" style="14" customWidth="1"/>
    <col min="4" max="4" width="55.75" style="15" customWidth="1"/>
    <col min="5" max="5" width="32" style="16" customWidth="1"/>
    <col min="6" max="6" width="32"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c r="A1" t="s">
        <v>1530</v>
      </c>
    </row>
    <row r="2" spans="1:10" ht="36" customHeight="1">
      <c r="A2" s="175" t="s">
        <v>1456</v>
      </c>
      <c r="B2" s="175"/>
      <c r="C2" s="176"/>
      <c r="D2" s="328"/>
      <c r="E2" s="177"/>
      <c r="F2" s="177" t="str">
        <f>'Auto Responses'!$A$36</f>
        <v>Version 4.1.0</v>
      </c>
      <c r="J2" s="1"/>
    </row>
    <row r="3" spans="1:10" s="1" customFormat="1" ht="29" customHeight="1">
      <c r="A3" s="44" t="s">
        <v>996</v>
      </c>
      <c r="B3" s="45"/>
      <c r="C3" s="73">
        <f>'START HERE'!$C$3</f>
        <v>46216</v>
      </c>
      <c r="D3" s="329"/>
      <c r="E3" s="43"/>
      <c r="F3" s="57"/>
      <c r="I3" s="42"/>
    </row>
    <row r="4" spans="1:10" s="1" customFormat="1" ht="36" customHeight="1">
      <c r="A4" s="17" t="s">
        <v>921</v>
      </c>
      <c r="B4" s="18"/>
      <c r="C4" s="19"/>
      <c r="D4" s="20"/>
      <c r="E4" s="21"/>
      <c r="F4" s="21"/>
      <c r="I4" s="42"/>
    </row>
    <row r="5" spans="1:10" s="1" customFormat="1" ht="19.5" customHeight="1">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c r="A8" s="49" t="str">
        <f>HLOOKUP($A$4,'Auto Responses'!$D$2:$D$8,5,0)&amp;""</f>
        <v>4. DO NOT complete any fields in the "Evaluation" sheets or the "Analyst Notes" column.</v>
      </c>
      <c r="B8" s="22"/>
      <c r="C8" s="74"/>
      <c r="D8" s="330"/>
      <c r="E8" s="22"/>
      <c r="F8" s="280"/>
      <c r="I8" s="42"/>
    </row>
    <row r="9" spans="1:10" s="1" customFormat="1" ht="19.5" customHeight="1">
      <c r="A9" s="49" t="str">
        <f>HLOOKUP($A$4,'Auto Responses'!$D$2:$D$8,6,0)&amp;""</f>
        <v>5. Return the completed file to institutions.</v>
      </c>
      <c r="B9" s="22"/>
      <c r="C9" s="74"/>
      <c r="D9" s="330"/>
      <c r="E9" s="22"/>
      <c r="F9" s="280"/>
      <c r="I9" s="42"/>
    </row>
    <row r="10" spans="1:10" s="1" customFormat="1" ht="19.5" customHeight="1">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c r="A11" s="264" t="str">
        <f>HLOOKUP($A$4,'Auto Responses'!$D$2:$D$9,8,0)&amp;""</f>
        <v>For full instructions, please visit educause.edu/HECVAT</v>
      </c>
      <c r="B11" s="22"/>
      <c r="C11" s="74"/>
      <c r="D11" s="330"/>
      <c r="E11" s="22"/>
      <c r="F11" s="281"/>
      <c r="I11" s="42"/>
    </row>
    <row r="12" spans="1:10" s="1" customFormat="1" ht="36" customHeight="1">
      <c r="A12" s="70" t="str">
        <f>VLOOKUP(LEFT($A13,4),'Auto Responses'!$N$4:$O$38,2,0)&amp;""</f>
        <v xml:space="preserve"> General Information</v>
      </c>
      <c r="B12" s="18"/>
      <c r="C12" s="19" t="s">
        <v>1583</v>
      </c>
      <c r="D12" s="331"/>
      <c r="E12" s="23"/>
      <c r="F12" s="23"/>
      <c r="I12" s="42"/>
      <c r="J12" s="42"/>
    </row>
    <row r="13" spans="1:10" s="1" customFormat="1" ht="22.25" customHeight="1">
      <c r="A13" s="25" t="s">
        <v>21</v>
      </c>
      <c r="B13" s="26" t="str">
        <f>VLOOKUP($A13,Questions!$A$2:$X$333,2,0)&amp;""</f>
        <v>Solution Provider Name</v>
      </c>
      <c r="C13" s="83" t="str">
        <f>VLOOKUP($A13,'START HERE'!$A$13:$C$21,3,0)&amp;""</f>
        <v>America's Software Corporation</v>
      </c>
      <c r="D13" s="39"/>
      <c r="E13" s="39"/>
      <c r="F13" s="57"/>
      <c r="I13" s="42"/>
      <c r="J13" s="42"/>
    </row>
    <row r="14" spans="1:10" s="1" customFormat="1" ht="22.25" customHeight="1">
      <c r="A14" s="25" t="s">
        <v>24</v>
      </c>
      <c r="B14" s="26" t="str">
        <f>VLOOKUP($A14,Questions!$A$2:$X$333,2,0)&amp;""</f>
        <v>Solution Name</v>
      </c>
      <c r="C14" s="83" t="str">
        <f>VLOOKUP($A14,'START HERE'!$A$13:$C$21,3,0)&amp;""</f>
        <v>TalEval, Discovery Pro</v>
      </c>
      <c r="D14" s="39"/>
      <c r="E14" s="39"/>
      <c r="F14" s="57"/>
      <c r="I14" s="42"/>
      <c r="J14" s="42"/>
    </row>
    <row r="15" spans="1:10" s="1" customFormat="1" ht="22.25" customHeight="1">
      <c r="A15" s="25" t="s">
        <v>25</v>
      </c>
      <c r="B15" s="26" t="str">
        <f>VLOOKUP($A15,Questions!$A$2:$X$333,2,0)&amp;""</f>
        <v>Solution Description</v>
      </c>
      <c r="C15" s="83" t="str">
        <f>VLOOKUP($A15,'START HERE'!$A$13:$C$21,3,0)&amp;""</f>
        <v>Dental Hygiene/COS Student  Tracking</v>
      </c>
      <c r="D15" s="39"/>
      <c r="E15" s="39"/>
      <c r="F15" s="57"/>
      <c r="I15" s="42"/>
      <c r="J15" s="42"/>
    </row>
    <row r="16" spans="1:10" s="1" customFormat="1" ht="22.25" customHeight="1" thickBot="1">
      <c r="A16" s="25" t="s">
        <v>30</v>
      </c>
      <c r="B16" s="26" t="str">
        <f>VLOOKUP($A16,Questions!$A$2:$X$333,2,0)&amp;""</f>
        <v>Country of Company Headquarters</v>
      </c>
      <c r="C16" s="83" t="str">
        <f>VLOOKUP($A16,'START HERE'!$A$13:$C$21,3,0)&amp;""</f>
        <v>USA</v>
      </c>
      <c r="D16" s="39"/>
      <c r="E16" s="39"/>
      <c r="F16" s="57"/>
      <c r="I16" s="42"/>
      <c r="J16" s="42"/>
    </row>
    <row r="17" spans="1:10" s="1" customFormat="1" ht="37.25" customHeight="1" thickBot="1">
      <c r="A17" s="70" t="str">
        <f>VLOOKUP(LEFT($A18,4),'Auto Responses'!$N$4:$O$38,2,0)&amp;""</f>
        <v xml:space="preserve"> Required Questions</v>
      </c>
      <c r="B17" s="29"/>
      <c r="C17" s="19" t="s">
        <v>1583</v>
      </c>
      <c r="D17" s="19" t="s">
        <v>72</v>
      </c>
      <c r="E17" s="38" t="s">
        <v>904</v>
      </c>
      <c r="F17" s="194" t="s">
        <v>905</v>
      </c>
      <c r="I17" s="42"/>
      <c r="J17" s="42"/>
    </row>
    <row r="18" spans="1:10" s="1" customFormat="1" ht="38.25" customHeight="1">
      <c r="A18" s="25" t="s">
        <v>54</v>
      </c>
      <c r="B18" s="24" t="str">
        <f>VLOOKUP($A18,Questions!$A$2:$X$333,2,0)</f>
        <v>Are you providing consulting services?</v>
      </c>
      <c r="C18" s="80" t="str">
        <f>VLOOKUP($A18,'START HERE'!$A$23:$F$36,3,0)&amp;""</f>
        <v>no</v>
      </c>
      <c r="D18" s="335" t="str">
        <f>VLOOKUP($A18,'START HERE'!$A$23:$F$36,4,0)&amp;""</f>
        <v/>
      </c>
      <c r="E18" s="174" t="str">
        <f>IF($C18="Yes",VLOOKUP($A18,Questions!$A$2:$X$333,17,0)&amp;"",IF($C18="No",VLOOKUP($A18,Questions!$A$2:$X$333,16,0)&amp;"",VLOOKUP($A18,Questions!$A$2:$X$333,15,0)&amp;""))</f>
        <v>DO NOT complete the Consulting section in the Case-Specific worksheet</v>
      </c>
      <c r="F18" s="208" t="str">
        <f>VLOOKUP($A18,'Institution Evaluation'!$A$56:$F$346,6,0)&amp;""</f>
        <v/>
      </c>
      <c r="I18" s="42"/>
      <c r="J18" s="42"/>
    </row>
    <row r="19" spans="1:10" s="1" customFormat="1" ht="51.75" customHeight="1">
      <c r="A19" s="25" t="s">
        <v>61</v>
      </c>
      <c r="B19" s="24" t="str">
        <f>VLOOKUP($A19,Questions!$A$2:$X$333,2,0)</f>
        <v>Does your solution process protected health information (PHI) or any data covered by the Health Insurance Portability and Accountability Act (HIPAA)?</v>
      </c>
      <c r="C19" s="80" t="str">
        <f>VLOOKUP($A19,'START HERE'!$A$23:$F$36,3,0)&amp;""</f>
        <v>no</v>
      </c>
      <c r="D19" s="335" t="str">
        <f>VLOOKUP($A19,'START HERE'!$A$23:$F$36,4,0)&amp;""</f>
        <v/>
      </c>
      <c r="E19" s="174" t="str">
        <f>IF($C19="Yes",VLOOKUP($A19,Questions!$A$2:$X$333,17,0)&amp;"",IF($C19="No",VLOOKUP($A19,Questions!$A$2:$X$333,16,0)&amp;"",VLOOKUP($A19,Questions!$A$2:$X$333,15,0)&amp;""))</f>
        <v>DO NOT complete the HIPAA section in the Case-Specific worksheet</v>
      </c>
      <c r="F19" s="208" t="str">
        <f>VLOOKUP($A19,'Institution Evaluation'!$A$56:$F$346,6,0)&amp;""</f>
        <v/>
      </c>
      <c r="I19" s="42"/>
      <c r="J19" s="42"/>
    </row>
    <row r="20" spans="1:10" s="1" customFormat="1" ht="51.75" customHeight="1">
      <c r="A20" s="25" t="s">
        <v>64</v>
      </c>
      <c r="B20" s="24" t="str">
        <f>VLOOKUP($A20,Questions!$A$2:$X$333,2,0)</f>
        <v>Is the solution designed to process, store, or transmit credit card information?</v>
      </c>
      <c r="C20" s="80" t="str">
        <f>VLOOKUP($A20,'START HERE'!$A$23:$F$36,3,0)&amp;""</f>
        <v>no</v>
      </c>
      <c r="D20" s="335" t="str">
        <f>VLOOKUP($A20,'START HERE'!$A$23:$F$36,4,0)&amp;""</f>
        <v/>
      </c>
      <c r="E20" s="174" t="str">
        <f>IF($C20="Yes",VLOOKUP($A20,Questions!$A$2:$X$333,17,0)&amp;"",IF($C20="No",VLOOKUP($A20,Questions!$A$2:$X$333,16,0)&amp;"",VLOOKUP($A20,Questions!$A$2:$X$333,15,0)&amp;""))</f>
        <v>DO NOT complete the PCI-DSS section in the Case-Specific worksheet</v>
      </c>
      <c r="F20" s="208" t="str">
        <f>VLOOKUP($A20,'Institution Evaluation'!$A$56:$F$346,6,0)&amp;""</f>
        <v/>
      </c>
      <c r="I20" s="42"/>
      <c r="J20" s="42"/>
    </row>
    <row r="21" spans="1:10" s="1" customFormat="1" ht="69" customHeight="1" thickBot="1">
      <c r="A21" s="25" t="s">
        <v>67</v>
      </c>
      <c r="B21" s="24"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80" t="str">
        <f>VLOOKUP($A21,'START HERE'!$A$23:$F$36,3,0)&amp;""</f>
        <v>no</v>
      </c>
      <c r="D21" s="335" t="str">
        <f>VLOOKUP($A21,'START HERE'!$A$23:$F$36,4,0)&amp;""</f>
        <v/>
      </c>
      <c r="E21" s="174" t="str">
        <f>IF($C21="Yes",VLOOKUP($A21,Questions!$A$2:$X$333,17,0)&amp;"",IF($C21="No",VLOOKUP($A21,Questions!$A$2:$X$333,16,0)&amp;"",VLOOKUP($A21,Questions!$A$2:$X$333,15,0)&amp;""))</f>
        <v>DO NOT complete the On-Prem section in the Case-Specific worksheet</v>
      </c>
      <c r="F21" s="208" t="str">
        <f>VLOOKUP($A21,'Institution Evaluation'!$A$56:$F$346,6,0)&amp;""</f>
        <v/>
      </c>
      <c r="G21" s="255" t="s">
        <v>1531</v>
      </c>
      <c r="I21" s="42"/>
      <c r="J21" s="42"/>
    </row>
    <row r="22" spans="1:10" s="1" customFormat="1" ht="37.25" customHeight="1" thickBot="1">
      <c r="A22" s="70" t="str">
        <f>VLOOKUP(LEFT($A23,4),'Auto Responses'!$N$4:$O$38,2,0)&amp;""</f>
        <v xml:space="preserve"> Consulting Services</v>
      </c>
      <c r="B22" s="29"/>
      <c r="C22" s="19" t="s">
        <v>1583</v>
      </c>
      <c r="D22" s="19" t="s">
        <v>72</v>
      </c>
      <c r="E22" s="38" t="s">
        <v>904</v>
      </c>
      <c r="F22" s="194" t="s">
        <v>905</v>
      </c>
      <c r="I22" s="42"/>
      <c r="J22" s="42"/>
    </row>
    <row r="23" spans="1:10" s="1" customFormat="1" ht="45">
      <c r="A23" s="25" t="s">
        <v>146</v>
      </c>
      <c r="B23" s="24" t="str">
        <f>VLOOKUP($A23,Questions!$A$2:$X$333,2,0)</f>
        <v>Will the consultant require access to the institution's network resources?*</v>
      </c>
      <c r="C23" s="27"/>
      <c r="D23" s="345"/>
      <c r="E23" s="174" t="str">
        <f>IF($C$18="No",'Auto Responses'!$A$5,IF($C23="Yes",VLOOKUP($A23,Questions!$A$2:$X$333,17,0)&amp;"",IF($C23="No",VLOOKUP($A23,Questions!$A$2:$X$333,16,0)&amp;"",VLOOKUP($A23,Questions!$A$2:$X$333,15,0)&amp;"")))</f>
        <v>Based on the response to REQU-03 on the "START HERE" tab, this question does not apply to this product or service.</v>
      </c>
      <c r="F23" s="208" t="str">
        <f>VLOOKUP($A23,'Institution Evaluation'!$A$56:$F$346,6,0)&amp;""</f>
        <v/>
      </c>
      <c r="I23" s="42"/>
      <c r="J23" s="42"/>
    </row>
    <row r="24" spans="1:10" s="1" customFormat="1" ht="45">
      <c r="A24" s="25" t="s">
        <v>150</v>
      </c>
      <c r="B24" s="24" t="str">
        <f>VLOOKUP($A24,Questions!$A$2:$X$333,2,0)</f>
        <v>Has the consultant received training on (sensitive, HIPAA, PCI, etc.) data handling?*</v>
      </c>
      <c r="C24" s="27"/>
      <c r="D24" s="345"/>
      <c r="E24" s="174" t="str">
        <f>IF($C$18="No",'Auto Responses'!$A$5,IF($C24="Yes",VLOOKUP($A24,Questions!$A$2:$X$333,17,0)&amp;"",IF($C24="No",VLOOKUP($A24,Questions!$A$2:$X$333,16,0)&amp;"",VLOOKUP($A24,Questions!$A$2:$X$333,15,0)&amp;"")))</f>
        <v>Based on the response to REQU-03 on the "START HERE" tab, this question does not apply to this product or service.</v>
      </c>
      <c r="F24" s="208" t="str">
        <f>VLOOKUP($A24,'Institution Evaluation'!$A$56:$F$346,6,0)&amp;""</f>
        <v/>
      </c>
      <c r="I24" s="42"/>
      <c r="J24" s="42"/>
    </row>
    <row r="25" spans="1:10" s="1" customFormat="1" ht="36" customHeight="1">
      <c r="A25" s="25" t="s">
        <v>151</v>
      </c>
      <c r="B25" s="24" t="str">
        <f>VLOOKUP($A25,Questions!$A$2:$X$333,2,0)</f>
        <v>Is the data encrypted (at rest) while in the consultant's possession?*</v>
      </c>
      <c r="C25" s="27"/>
      <c r="D25" s="345"/>
      <c r="E25" s="174" t="str">
        <f>IF($C$18="No",'Auto Responses'!$A$5,IF($C25="Yes",VLOOKUP($A25,Questions!$A$2:$X$333,17,0)&amp;"",IF($C25="No",VLOOKUP($A25,Questions!$A$2:$X$333,16,0)&amp;"",VLOOKUP($A25,Questions!$A$2:$X$333,15,0)&amp;"")))</f>
        <v>Based on the response to REQU-03 on the "START HERE" tab, this question does not apply to this product or service.</v>
      </c>
      <c r="F25" s="208" t="str">
        <f>VLOOKUP($A25,'Institution Evaluation'!$A$56:$F$346,6,0)&amp;""</f>
        <v/>
      </c>
      <c r="H25" s="178"/>
      <c r="I25" s="42"/>
      <c r="J25" s="42"/>
    </row>
    <row r="26" spans="1:10" s="1" customFormat="1" ht="45">
      <c r="A26" s="25" t="s">
        <v>153</v>
      </c>
      <c r="B26" s="24" t="str">
        <f>VLOOKUP($A26,Questions!$A$2:$X$333,2,0)</f>
        <v>Can access be restricted based on source IP address?*</v>
      </c>
      <c r="C26" s="27"/>
      <c r="D26" s="345"/>
      <c r="E26" s="174" t="str">
        <f>IF($C$18="No",'Auto Responses'!$A$5,IF($C26="Yes",VLOOKUP($A26,Questions!$A$2:$X$333,17,0)&amp;"",IF($C26="No",VLOOKUP($A26,Questions!$A$2:$X$333,16,0)&amp;"",VLOOKUP($A26,Questions!$A$2:$X$333,15,0)&amp;"")))</f>
        <v>Based on the response to REQU-03 on the "START HERE" tab, this question does not apply to this product or service.</v>
      </c>
      <c r="F26" s="208" t="str">
        <f>VLOOKUP($A26,'Institution Evaluation'!$A$56:$F$346,6,0)&amp;""</f>
        <v/>
      </c>
      <c r="I26" s="42"/>
      <c r="J26" s="42"/>
    </row>
    <row r="27" spans="1:10" s="1" customFormat="1" ht="45">
      <c r="A27" s="25" t="s">
        <v>155</v>
      </c>
      <c r="B27" s="24" t="str">
        <f>VLOOKUP($A27,Questions!$A$2:$X$333,2,0)</f>
        <v>Will the consulting take place on-premises?</v>
      </c>
      <c r="C27" s="27"/>
      <c r="D27" s="345"/>
      <c r="E27" s="174" t="str">
        <f>IF($C$18="No",'Auto Responses'!$A$5,IF($C27="Yes",VLOOKUP($A27,Questions!$A$2:$X$333,17,0)&amp;"",IF($C27="No",VLOOKUP($A27,Questions!$A$2:$X$333,16,0)&amp;"",VLOOKUP($A27,Questions!$A$2:$X$333,15,0)&amp;"")))</f>
        <v>Based on the response to REQU-03 on the "START HERE" tab, this question does not apply to this product or service.</v>
      </c>
      <c r="F27" s="208" t="str">
        <f>VLOOKUP($A27,'Institution Evaluation'!$A$56:$F$346,6,0)&amp;""</f>
        <v/>
      </c>
      <c r="I27" s="42"/>
      <c r="J27" s="42"/>
    </row>
    <row r="28" spans="1:10" s="1" customFormat="1" ht="45">
      <c r="A28" s="25" t="s">
        <v>156</v>
      </c>
      <c r="B28" s="24" t="str">
        <f>VLOOKUP($A28,Questions!$A$2:$X$333,2,0)</f>
        <v>Will the consultant require access to hardware in the institution's data centers?</v>
      </c>
      <c r="C28" s="27"/>
      <c r="D28" s="345"/>
      <c r="E28" s="174" t="str">
        <f>IF($C$18="No",'Auto Responses'!$A$5,IF($C28="Yes",VLOOKUP($A28,Questions!$A$2:$X$333,17,0)&amp;"",IF($C28="No",VLOOKUP($A28,Questions!$A$2:$X$333,16,0)&amp;"",VLOOKUP($A28,Questions!$A$2:$X$333,15,0)&amp;"")))</f>
        <v>Based on the response to REQU-03 on the "START HERE" tab, this question does not apply to this product or service.</v>
      </c>
      <c r="F28" s="208" t="str">
        <f>VLOOKUP($A28,'Institution Evaluation'!$A$56:$F$346,6,0)&amp;""</f>
        <v/>
      </c>
      <c r="I28" s="42"/>
      <c r="J28" s="42"/>
    </row>
    <row r="29" spans="1:10" s="1" customFormat="1" ht="45">
      <c r="A29" s="25" t="s">
        <v>159</v>
      </c>
      <c r="B29" s="24" t="str">
        <f>VLOOKUP($A29,Questions!$A$2:$X$333,2,0)</f>
        <v>Will the consultant require an account within the institution's domain (@*.edu)?</v>
      </c>
      <c r="C29" s="27"/>
      <c r="D29" s="345"/>
      <c r="E29" s="174" t="str">
        <f>IF($C$18="No",'Auto Responses'!$A$5,IF($C29="Yes",VLOOKUP($A29,Questions!$A$2:$X$333,17,0)&amp;"",IF($C29="No",VLOOKUP($A29,Questions!$A$2:$X$333,16,0)&amp;"",VLOOKUP($A29,Questions!$A$2:$X$333,15,0)&amp;"")))</f>
        <v>Based on the response to REQU-03 on the "START HERE" tab, this question does not apply to this product or service.</v>
      </c>
      <c r="F29" s="208" t="str">
        <f>VLOOKUP($A29,'Institution Evaluation'!$A$56:$F$346,6,0)&amp;""</f>
        <v/>
      </c>
      <c r="I29" s="42"/>
      <c r="J29" s="42"/>
    </row>
    <row r="30" spans="1:10" s="1" customFormat="1" ht="45">
      <c r="A30" s="25" t="s">
        <v>160</v>
      </c>
      <c r="B30" s="24" t="str">
        <f>VLOOKUP($A30,Questions!$A$2:$X$333,2,0)</f>
        <v>Will any data be transferred to the consultant's possession?</v>
      </c>
      <c r="C30" s="27"/>
      <c r="D30" s="345"/>
      <c r="E30" s="174" t="str">
        <f>IF($C$18="No",'Auto Responses'!$A$5,IF($C30="Yes",VLOOKUP($A30,Questions!$A$2:$X$333,17,0)&amp;"",IF($C30="No",VLOOKUP($A30,Questions!$A$2:$X$333,16,0)&amp;"",VLOOKUP($A30,Questions!$A$2:$X$333,15,0)&amp;"")))</f>
        <v>Based on the response to REQU-03 on the "START HERE" tab, this question does not apply to this product or service.</v>
      </c>
      <c r="F30" s="208" t="str">
        <f>VLOOKUP($A30,'Institution Evaluation'!$A$56:$F$346,6,0)&amp;""</f>
        <v/>
      </c>
      <c r="I30" s="42"/>
      <c r="J30" s="42"/>
    </row>
    <row r="31" spans="1:10" s="1" customFormat="1" ht="46" thickBot="1">
      <c r="A31" s="25" t="s">
        <v>163</v>
      </c>
      <c r="B31" s="24" t="str">
        <f>VLOOKUP($A31,Questions!$A$2:$X$333,2,0)</f>
        <v>Will the consultant need remote access to the institution's network or systems?</v>
      </c>
      <c r="C31" s="27"/>
      <c r="D31" s="345"/>
      <c r="E31" s="174" t="str">
        <f>IF($C$18="No",'Auto Responses'!$A$5,IF($C31="Yes",VLOOKUP($A31,Questions!$A$2:$X$333,17,0)&amp;"",IF($C31="No",VLOOKUP($A31,Questions!$A$2:$X$333,16,0)&amp;"",VLOOKUP($A31,Questions!$A$2:$X$333,15,0)&amp;"")))</f>
        <v>Based on the response to REQU-03 on the "START HERE" tab, this question does not apply to this product or service.</v>
      </c>
      <c r="F31" s="208" t="str">
        <f>VLOOKUP($A31,'Institution Evaluation'!$A$56:$F$346,6,0)&amp;""</f>
        <v/>
      </c>
      <c r="G31" s="255" t="s">
        <v>1531</v>
      </c>
      <c r="I31" s="42"/>
      <c r="J31" s="42"/>
    </row>
    <row r="32" spans="1:10" s="1" customFormat="1" ht="37.25" customHeight="1" thickBot="1">
      <c r="A32" s="70" t="str">
        <f>VLOOKUP(LEFT($A33,4),'Auto Responses'!$N$4:$O$38,2,0)&amp;""</f>
        <v xml:space="preserve">HIPAA Compliance </v>
      </c>
      <c r="B32" s="29"/>
      <c r="C32" s="19" t="s">
        <v>1583</v>
      </c>
      <c r="D32" s="19" t="s">
        <v>72</v>
      </c>
      <c r="E32" s="38" t="s">
        <v>904</v>
      </c>
      <c r="F32" s="194" t="s">
        <v>905</v>
      </c>
      <c r="I32" s="42"/>
      <c r="J32" s="42"/>
    </row>
    <row r="33" spans="1:10" s="1" customFormat="1" ht="49.5" customHeight="1">
      <c r="A33" s="25" t="s">
        <v>607</v>
      </c>
      <c r="B33" s="24" t="str">
        <f>VLOOKUP($A33,Questions!$A$2:$X$333,2,0)</f>
        <v>Do your workforce members receive regular training related to the Health Insurance Portability and Accountability Act (HIPAA) Privacy and Security Rules and the HITECH Act?*</v>
      </c>
      <c r="C33" s="27"/>
      <c r="D33" s="345"/>
      <c r="E33" s="174" t="str">
        <f>IF($C$19="No",'Auto Responses'!$A$7,IF($C33="Yes",VLOOKUP($A33,Questions!$A$2:$X$333,17,0)&amp;"",IF($C33="No",VLOOKUP($A33,Questions!$A$2:$X$333,16,0)&amp;"",VLOOKUP($A33,Questions!$A$2:$X$333,15,0)&amp;"")))</f>
        <v>Based on the response to REQU-05 on the "START HERE" tab, this question does not apply to this product or service.</v>
      </c>
      <c r="F33" s="208" t="str">
        <f>VLOOKUP($A33,'Institution Evaluation'!$A$56:$F$346,6,0)&amp;""</f>
        <v/>
      </c>
      <c r="I33" s="42"/>
      <c r="J33" s="42"/>
    </row>
    <row r="34" spans="1:10" s="1" customFormat="1" ht="49.5" customHeight="1">
      <c r="A34" s="25" t="s">
        <v>612</v>
      </c>
      <c r="B34" s="24" t="str">
        <f>VLOOKUP($A34,Questions!$A$2:$X$333,2,0)</f>
        <v>Have you identified areas of risk?*</v>
      </c>
      <c r="C34" s="27"/>
      <c r="D34" s="345"/>
      <c r="E34" s="174" t="str">
        <f>IF($C$19="No",'Auto Responses'!$A$7,IF($C34="Yes",VLOOKUP($A34,Questions!$A$2:$X$333,17,0)&amp;"",IF($C34="No",VLOOKUP($A34,Questions!$A$2:$X$333,16,0)&amp;"",VLOOKUP($A34,Questions!$A$2:$X$333,15,0)&amp;"")))</f>
        <v>Based on the response to REQU-05 on the "START HERE" tab, this question does not apply to this product or service.</v>
      </c>
      <c r="F34" s="208" t="str">
        <f>VLOOKUP($A34,'Institution Evaluation'!$A$56:$F$346,6,0)&amp;""</f>
        <v/>
      </c>
      <c r="I34" s="42"/>
      <c r="J34" s="42"/>
    </row>
    <row r="35" spans="1:10" s="1" customFormat="1" ht="49.5" customHeight="1">
      <c r="A35" s="25" t="s">
        <v>614</v>
      </c>
      <c r="B35" s="24" t="str">
        <f>VLOOKUP($A35,Questions!$A$2:$X$333,2,0)</f>
        <v>Have the relevant policies/plans been tested?*</v>
      </c>
      <c r="C35" s="27"/>
      <c r="D35" s="345"/>
      <c r="E35" s="174" t="str">
        <f>IF($C$19="No",'Auto Responses'!$A$7,IF($C35="Yes",VLOOKUP($A35,Questions!$A$2:$X$333,17,0)&amp;"",IF($C35="No",VLOOKUP($A35,Questions!$A$2:$X$333,16,0)&amp;"",VLOOKUP($A35,Questions!$A$2:$X$333,15,0)&amp;"")))</f>
        <v>Based on the response to REQU-05 on the "START HERE" tab, this question does not apply to this product or service.</v>
      </c>
      <c r="F35" s="208" t="str">
        <f>VLOOKUP($A35,'Institution Evaluation'!$A$56:$F$346,6,0)&amp;""</f>
        <v/>
      </c>
      <c r="I35" s="42"/>
      <c r="J35" s="42"/>
    </row>
    <row r="36" spans="1:10" s="1" customFormat="1" ht="49.5" customHeight="1">
      <c r="A36" s="25" t="s">
        <v>616</v>
      </c>
      <c r="B36" s="24" t="str">
        <f>VLOOKUP($A36,Questions!$A$2:$X$333,2,0)</f>
        <v>Have you entered into a Business Associate Agreements with all subcontractors who may have access to protected health information (PHI)?*</v>
      </c>
      <c r="C36" s="27"/>
      <c r="D36" s="345"/>
      <c r="E36" s="174" t="str">
        <f>IF($C$19="No",'Auto Responses'!$A$7,IF($C36="Yes",VLOOKUP($A36,Questions!$A$2:$X$333,17,0)&amp;"",IF($C36="No",VLOOKUP($A36,Questions!$A$2:$X$333,16,0)&amp;"",VLOOKUP($A36,Questions!$A$2:$X$333,15,0)&amp;"")))</f>
        <v>Based on the response to REQU-05 on the "START HERE" tab, this question does not apply to this product or service.</v>
      </c>
      <c r="F36" s="208" t="str">
        <f>VLOOKUP($A36,'Institution Evaluation'!$A$56:$F$346,6,0)&amp;""</f>
        <v/>
      </c>
      <c r="I36" s="42"/>
      <c r="J36" s="42"/>
    </row>
    <row r="37" spans="1:10" s="1" customFormat="1" ht="49.5" customHeight="1">
      <c r="A37" s="25" t="s">
        <v>618</v>
      </c>
      <c r="B37" s="24" t="str">
        <f>VLOOKUP($A37,Questions!$A$2:$X$333,2,0)</f>
        <v>Do you monitor or receive information regarding changes in HIPAA regulations?</v>
      </c>
      <c r="C37" s="27"/>
      <c r="D37" s="345"/>
      <c r="E37" s="174" t="str">
        <f>IF($C$19="No",'Auto Responses'!$A$7,IF($C37="Yes",VLOOKUP($A37,Questions!$A$2:$X$333,17,0)&amp;"",IF($C37="No",VLOOKUP($A37,Questions!$A$2:$X$333,16,0)&amp;"",VLOOKUP($A37,Questions!$A$2:$X$333,15,0)&amp;"")))</f>
        <v>Based on the response to REQU-05 on the "START HERE" tab, this question does not apply to this product or service.</v>
      </c>
      <c r="F37" s="208" t="str">
        <f>VLOOKUP($A37,'Institution Evaluation'!$A$56:$F$346,6,0)&amp;""</f>
        <v/>
      </c>
      <c r="I37" s="42"/>
      <c r="J37" s="42"/>
    </row>
    <row r="38" spans="1:10" s="1" customFormat="1" ht="49.5" customHeight="1">
      <c r="A38" s="25" t="s">
        <v>619</v>
      </c>
      <c r="B38" s="24" t="str">
        <f>VLOOKUP($A38,Questions!$A$2:$X$333,2,0)</f>
        <v>Has your organization designated HIPAA Privacy and Security officers as required by the rules?</v>
      </c>
      <c r="C38" s="27"/>
      <c r="D38" s="345"/>
      <c r="E38" s="174" t="str">
        <f>IF($C$19="No",'Auto Responses'!$A$7,IF($C38="Yes",VLOOKUP($A38,Questions!$A$2:$X$333,17,0)&amp;"",IF($C38="No",VLOOKUP($A38,Questions!$A$2:$X$333,16,0)&amp;"",VLOOKUP($A38,Questions!$A$2:$X$333,15,0)&amp;"")))</f>
        <v>Based on the response to REQU-05 on the "START HERE" tab, this question does not apply to this product or service.</v>
      </c>
      <c r="F38" s="208" t="str">
        <f>VLOOKUP($A38,'Institution Evaluation'!$A$56:$F$346,6,0)&amp;""</f>
        <v/>
      </c>
      <c r="I38" s="42"/>
      <c r="J38" s="42"/>
    </row>
    <row r="39" spans="1:10" s="1" customFormat="1" ht="49.5" customHeight="1">
      <c r="A39" s="25" t="s">
        <v>620</v>
      </c>
      <c r="B39" s="24" t="str">
        <f>VLOOKUP($A39,Questions!$A$2:$X$333,2,0)</f>
        <v>Do you comply with the requirements of the Health Information Technology for Economic and Clinical Health Act (HITECH)?</v>
      </c>
      <c r="C39" s="27"/>
      <c r="D39" s="345"/>
      <c r="E39" s="174" t="str">
        <f>IF($C$19="No",'Auto Responses'!$A$7,IF($C39="Yes",VLOOKUP($A39,Questions!$A$2:$X$333,17,0)&amp;"",IF($C39="No",VLOOKUP($A39,Questions!$A$2:$X$333,16,0)&amp;"",VLOOKUP($A39,Questions!$A$2:$X$333,15,0)&amp;"")))</f>
        <v>Based on the response to REQU-05 on the "START HERE" tab, this question does not apply to this product or service.</v>
      </c>
      <c r="F39" s="208" t="str">
        <f>VLOOKUP($A39,'Institution Evaluation'!$A$56:$F$346,6,0)&amp;""</f>
        <v/>
      </c>
      <c r="I39" s="42"/>
      <c r="J39" s="42"/>
    </row>
    <row r="40" spans="1:10" s="1" customFormat="1" ht="49.5" customHeight="1">
      <c r="A40" s="25" t="s">
        <v>622</v>
      </c>
      <c r="B40" s="24" t="str">
        <f>VLOOKUP($A40,Questions!$A$2:$X$333,2,0)</f>
        <v>Have you conducted a risk analysis as required under the HIPAA Security Rule?</v>
      </c>
      <c r="C40" s="27"/>
      <c r="D40" s="345"/>
      <c r="E40" s="174" t="str">
        <f>IF($C$19="No",'Auto Responses'!$A$7,IF($C40="Yes",VLOOKUP($A40,Questions!$A$2:$X$333,17,0)&amp;"",IF($C40="No",VLOOKUP($A40,Questions!$A$2:$X$333,16,0)&amp;"",VLOOKUP($A40,Questions!$A$2:$X$333,15,0)&amp;"")))</f>
        <v>Based on the response to REQU-05 on the "START HERE" tab, this question does not apply to this product or service.</v>
      </c>
      <c r="F40" s="208" t="str">
        <f>VLOOKUP($A40,'Institution Evaluation'!$A$56:$F$346,6,0)&amp;""</f>
        <v/>
      </c>
      <c r="I40" s="42"/>
      <c r="J40" s="42"/>
    </row>
    <row r="41" spans="1:10" s="1" customFormat="1" ht="49.5" customHeight="1">
      <c r="A41" s="25" t="s">
        <v>624</v>
      </c>
      <c r="B41" s="24" t="str">
        <f>VLOOKUP($A41,Questions!$A$2:$X$333,2,0)</f>
        <v>Have you taken actions to mitigate the identified risks?</v>
      </c>
      <c r="C41" s="27"/>
      <c r="D41" s="345"/>
      <c r="E41" s="174" t="str">
        <f>IF($C$19="No",'Auto Responses'!$A$7,IF($C41="Yes",VLOOKUP($A41,Questions!$A$2:$X$333,17,0)&amp;"",IF($C41="No",VLOOKUP($A41,Questions!$A$2:$X$333,16,0)&amp;"",VLOOKUP($A41,Questions!$A$2:$X$333,15,0)&amp;"")))</f>
        <v>Based on the response to REQU-05 on the "START HERE" tab, this question does not apply to this product or service.</v>
      </c>
      <c r="F41" s="208" t="str">
        <f>VLOOKUP($A41,'Institution Evaluation'!$A$56:$F$346,6,0)&amp;""</f>
        <v/>
      </c>
      <c r="I41" s="42"/>
      <c r="J41" s="42"/>
    </row>
    <row r="42" spans="1:10" s="1" customFormat="1" ht="49.5" customHeight="1">
      <c r="A42" s="25" t="s">
        <v>626</v>
      </c>
      <c r="B42" s="24" t="str">
        <f>VLOOKUP($A42,Questions!$A$2:$X$333,2,0)</f>
        <v>Does your application require user and system administrator password changes at a frequency no greater than 90 days?</v>
      </c>
      <c r="C42" s="27"/>
      <c r="D42" s="345"/>
      <c r="E42" s="174" t="str">
        <f>IF($C$19="No",'Auto Responses'!$A$7,IF($C42="Yes",VLOOKUP($A42,Questions!$A$2:$X$333,17,0)&amp;"",IF($C42="No",VLOOKUP($A42,Questions!$A$2:$X$333,16,0)&amp;"",VLOOKUP($A42,Questions!$A$2:$X$333,15,0)&amp;"")))</f>
        <v>Based on the response to REQU-05 on the "START HERE" tab, this question does not apply to this product or service.</v>
      </c>
      <c r="F42" s="208" t="str">
        <f>VLOOKUP($A42,'Institution Evaluation'!$A$56:$F$346,6,0)&amp;""</f>
        <v/>
      </c>
      <c r="I42" s="42"/>
      <c r="J42" s="42"/>
    </row>
    <row r="43" spans="1:10" s="1" customFormat="1" ht="49.5" customHeight="1">
      <c r="A43" s="25" t="s">
        <v>628</v>
      </c>
      <c r="B43" s="24" t="str">
        <f>VLOOKUP($A43,Questions!$A$2:$X$333,2,0)</f>
        <v>Does your application require users to set their own password after an administrator reset or on first use of the account?</v>
      </c>
      <c r="C43" s="27"/>
      <c r="D43" s="340"/>
      <c r="E43" s="174" t="str">
        <f>IF($C$19="No",'Auto Responses'!$A$7,IF($C43="Yes",VLOOKUP($A43,Questions!$A$2:$X$333,17,0)&amp;"",IF($C43="No",VLOOKUP($A43,Questions!$A$2:$X$333,16,0)&amp;"",VLOOKUP($A43,Questions!$A$2:$X$333,15,0)&amp;"")))</f>
        <v>Based on the response to REQU-05 on the "START HERE" tab, this question does not apply to this product or service.</v>
      </c>
      <c r="F43" s="208" t="str">
        <f>VLOOKUP($A43,'Institution Evaluation'!$A$56:$F$346,6,0)&amp;""</f>
        <v/>
      </c>
      <c r="I43" s="42"/>
      <c r="J43" s="42"/>
    </row>
    <row r="44" spans="1:10" s="1" customFormat="1" ht="49.5" customHeight="1">
      <c r="A44" s="25" t="s">
        <v>630</v>
      </c>
      <c r="B44" s="24" t="str">
        <f>VLOOKUP($A44,Questions!$A$2:$X$333,2,0)</f>
        <v>Does your application lock out an account after a number of failed login attempts?</v>
      </c>
      <c r="C44" s="27"/>
      <c r="D44" s="340"/>
      <c r="E44" s="174" t="str">
        <f>IF($C$19="No",'Auto Responses'!$A$7,IF($C44="Yes",VLOOKUP($A44,Questions!$A$2:$X$333,17,0)&amp;"",IF($C44="No",VLOOKUP($A44,Questions!$A$2:$X$333,16,0)&amp;"",VLOOKUP($A44,Questions!$A$2:$X$333,15,0)&amp;"")))</f>
        <v>Based on the response to REQU-05 on the "START HERE" tab, this question does not apply to this product or service.</v>
      </c>
      <c r="F44" s="208" t="str">
        <f>VLOOKUP($A44,'Institution Evaluation'!$A$56:$F$346,6,0)&amp;""</f>
        <v/>
      </c>
      <c r="I44" s="42"/>
      <c r="J44" s="42"/>
    </row>
    <row r="45" spans="1:10" s="1" customFormat="1" ht="49.5" customHeight="1">
      <c r="A45" s="25" t="s">
        <v>632</v>
      </c>
      <c r="B45" s="24" t="str">
        <f>VLOOKUP($A45,Questions!$A$2:$X$333,2,0)</f>
        <v>Does your application automatically lock or log-out an account after a period of inactivity?</v>
      </c>
      <c r="C45" s="27"/>
      <c r="D45" s="340"/>
      <c r="E45" s="174" t="str">
        <f>IF($C$19="No",'Auto Responses'!$A$7,IF($C45="Yes",VLOOKUP($A45,Questions!$A$2:$X$333,17,0)&amp;"",IF($C45="No",VLOOKUP($A45,Questions!$A$2:$X$333,16,0)&amp;"",VLOOKUP($A45,Questions!$A$2:$X$333,15,0)&amp;"")))</f>
        <v>Based on the response to REQU-05 on the "START HERE" tab, this question does not apply to this product or service.</v>
      </c>
      <c r="F45" s="208" t="str">
        <f>VLOOKUP($A45,'Institution Evaluation'!$A$56:$F$346,6,0)&amp;""</f>
        <v/>
      </c>
      <c r="I45" s="42"/>
      <c r="J45" s="42"/>
    </row>
    <row r="46" spans="1:10" s="1" customFormat="1" ht="49.5" customHeight="1">
      <c r="A46" s="25" t="s">
        <v>634</v>
      </c>
      <c r="B46" s="24" t="str">
        <f>VLOOKUP($A46,Questions!$A$2:$X$333,2,0)</f>
        <v>Are passwords visible in plain text, whether when stored or entered, including service level accounts (i.e., database accounts, etc.)?</v>
      </c>
      <c r="C46" s="27"/>
      <c r="D46" s="340"/>
      <c r="E46" s="174" t="str">
        <f>IF($C$19="No",'Auto Responses'!$A$7,IF($C46="Yes",VLOOKUP($A46,Questions!$A$2:$X$333,17,0)&amp;"",IF($C46="No",VLOOKUP($A46,Questions!$A$2:$X$333,16,0)&amp;"",VLOOKUP($A46,Questions!$A$2:$X$333,15,0)&amp;"")))</f>
        <v>Based on the response to REQU-05 on the "START HERE" tab, this question does not apply to this product or service.</v>
      </c>
      <c r="F46" s="208" t="str">
        <f>VLOOKUP($A46,'Institution Evaluation'!$A$56:$F$346,6,0)&amp;""</f>
        <v/>
      </c>
      <c r="I46" s="42"/>
      <c r="J46" s="42"/>
    </row>
    <row r="47" spans="1:10" s="1" customFormat="1" ht="49.5" customHeight="1">
      <c r="A47" s="25" t="s">
        <v>636</v>
      </c>
      <c r="B47" s="24" t="str">
        <f>VLOOKUP($A47,Questions!$A$2:$X$333,2,0)</f>
        <v>If the application is institution-hosted, can all service level and administrative account passwords be changed by the institution?</v>
      </c>
      <c r="C47" s="27"/>
      <c r="D47" s="340"/>
      <c r="E47" s="174" t="str">
        <f>IF($C$19="No",'Auto Responses'!$A$7,IF($C47="Yes",VLOOKUP($A47,Questions!$A$2:$X$333,17,0)&amp;"",IF($C47="No",VLOOKUP($A47,Questions!$A$2:$X$333,16,0)&amp;"",VLOOKUP($A47,Questions!$A$2:$X$333,15,0)&amp;"")))</f>
        <v>Based on the response to REQU-05 on the "START HERE" tab, this question does not apply to this product or service.</v>
      </c>
      <c r="F47" s="208" t="str">
        <f>VLOOKUP($A47,'Institution Evaluation'!$A$56:$F$346,6,0)&amp;""</f>
        <v/>
      </c>
      <c r="I47" s="42"/>
      <c r="J47" s="42"/>
    </row>
    <row r="48" spans="1:10" s="1" customFormat="1" ht="49.5" customHeight="1">
      <c r="A48" s="25" t="s">
        <v>638</v>
      </c>
      <c r="B48" s="24" t="str">
        <f>VLOOKUP($A48,Questions!$A$2:$X$333,2,0)</f>
        <v>Does your application provide the ability to define user access levels?</v>
      </c>
      <c r="C48" s="27"/>
      <c r="D48" s="340"/>
      <c r="E48" s="174" t="str">
        <f>IF($C$19="No",'Auto Responses'!$A$7,IF($C48="Yes",VLOOKUP($A48,Questions!$A$2:$X$333,17,0)&amp;"",IF($C48="No",VLOOKUP($A48,Questions!$A$2:$X$333,16,0)&amp;"",VLOOKUP($A48,Questions!$A$2:$X$333,15,0)&amp;"")))</f>
        <v>Based on the response to REQU-05 on the "START HERE" tab, this question does not apply to this product or service.</v>
      </c>
      <c r="F48" s="208" t="str">
        <f>VLOOKUP($A48,'Institution Evaluation'!$A$56:$F$346,6,0)&amp;""</f>
        <v/>
      </c>
      <c r="I48" s="42"/>
      <c r="J48" s="42"/>
    </row>
    <row r="49" spans="1:10" s="1" customFormat="1" ht="49.5" customHeight="1">
      <c r="A49" s="25" t="s">
        <v>640</v>
      </c>
      <c r="B49" s="24" t="str">
        <f>VLOOKUP($A49,Questions!$A$2:$X$333,2,0)</f>
        <v>Does your application support varying levels of access to administrative tasks defined individually per user?</v>
      </c>
      <c r="C49" s="27"/>
      <c r="D49" s="340"/>
      <c r="E49" s="174" t="str">
        <f>IF($C$19="No",'Auto Responses'!$A$7,IF($C49="Yes",VLOOKUP($A49,Questions!$A$2:$X$333,17,0)&amp;"",IF($C49="No",VLOOKUP($A49,Questions!$A$2:$X$333,16,0)&amp;"",VLOOKUP($A49,Questions!$A$2:$X$333,15,0)&amp;"")))</f>
        <v>Based on the response to REQU-05 on the "START HERE" tab, this question does not apply to this product or service.</v>
      </c>
      <c r="F49" s="208" t="str">
        <f>VLOOKUP($A49,'Institution Evaluation'!$A$56:$F$346,6,0)&amp;""</f>
        <v/>
      </c>
      <c r="I49" s="42"/>
      <c r="J49" s="42"/>
    </row>
    <row r="50" spans="1:10" s="1" customFormat="1" ht="49.5" customHeight="1">
      <c r="A50" s="25" t="s">
        <v>642</v>
      </c>
      <c r="B50" s="24" t="str">
        <f>VLOOKUP($A50,Questions!$A$2:$X$333,2,0)</f>
        <v>Does your application support varying levels of access to records based on user ID?</v>
      </c>
      <c r="C50" s="27"/>
      <c r="D50" s="340"/>
      <c r="E50" s="174" t="str">
        <f>IF($C$19="No",'Auto Responses'!$A$7,IF($C50="Yes",VLOOKUP($A50,Questions!$A$2:$X$333,17,0)&amp;"",IF($C50="No",VLOOKUP($A50,Questions!$A$2:$X$333,16,0)&amp;"",VLOOKUP($A50,Questions!$A$2:$X$333,15,0)&amp;"")))</f>
        <v>Based on the response to REQU-05 on the "START HERE" tab, this question does not apply to this product or service.</v>
      </c>
      <c r="F50" s="208" t="str">
        <f>VLOOKUP($A50,'Institution Evaluation'!$A$56:$F$346,6,0)&amp;""</f>
        <v/>
      </c>
      <c r="I50" s="42"/>
      <c r="J50" s="42"/>
    </row>
    <row r="51" spans="1:10" s="1" customFormat="1" ht="49.5" customHeight="1">
      <c r="A51" s="25" t="s">
        <v>643</v>
      </c>
      <c r="B51" s="24" t="str">
        <f>VLOOKUP($A51,Questions!$A$2:$X$333,2,0)</f>
        <v>Is there a limit to the number of groups to which a user can be assigned?</v>
      </c>
      <c r="C51" s="27"/>
      <c r="D51" s="340"/>
      <c r="E51" s="174" t="str">
        <f>IF($C$19="No",'Auto Responses'!$A$7,IF($C51="Yes",VLOOKUP($A51,Questions!$A$2:$X$333,17,0)&amp;"",IF($C51="No",VLOOKUP($A51,Questions!$A$2:$X$333,16,0)&amp;"",VLOOKUP($A51,Questions!$A$2:$X$333,15,0)&amp;"")))</f>
        <v>Based on the response to REQU-05 on the "START HERE" tab, this question does not apply to this product or service.</v>
      </c>
      <c r="F51" s="208" t="str">
        <f>VLOOKUP($A51,'Institution Evaluation'!$A$56:$F$346,6,0)&amp;""</f>
        <v/>
      </c>
      <c r="I51" s="42"/>
      <c r="J51" s="42"/>
    </row>
    <row r="52" spans="1:10" s="1" customFormat="1" ht="49.5" customHeight="1">
      <c r="A52" s="25" t="s">
        <v>645</v>
      </c>
      <c r="B52" s="24" t="str">
        <f>VLOOKUP($A52,Questions!$A$2:$X$333,2,0)</f>
        <v>Do accounts used for solution provider-supplied remote support abide by the same authentication policies and access logging as the rest of the system?</v>
      </c>
      <c r="C52" s="27"/>
      <c r="D52" s="340"/>
      <c r="E52" s="174" t="str">
        <f>IF($C$19="No",'Auto Responses'!$A$7,IF($C52="Yes",VLOOKUP($A52,Questions!$A$2:$X$333,17,0)&amp;"",IF($C52="No",VLOOKUP($A52,Questions!$A$2:$X$333,16,0)&amp;"",VLOOKUP($A52,Questions!$A$2:$X$333,15,0)&amp;"")))</f>
        <v>Based on the response to REQU-05 on the "START HERE" tab, this question does not apply to this product or service.</v>
      </c>
      <c r="F52" s="208" t="str">
        <f>VLOOKUP($A52,'Institution Evaluation'!$A$56:$F$346,6,0)&amp;""</f>
        <v/>
      </c>
      <c r="I52" s="42"/>
      <c r="J52" s="42"/>
    </row>
    <row r="53" spans="1:10" s="1" customFormat="1" ht="49.5" customHeight="1">
      <c r="A53" s="25" t="s">
        <v>646</v>
      </c>
      <c r="B53" s="24" t="str">
        <f>VLOOKUP($A53,Questions!$A$2:$X$333,2,0)</f>
        <v>Does the application log record access including specific user, date/time of access, and originating IP or device?</v>
      </c>
      <c r="C53" s="27"/>
      <c r="D53" s="340"/>
      <c r="E53" s="174" t="str">
        <f>IF($C$19="No",'Auto Responses'!$A$7,IF($C53="Yes",VLOOKUP($A53,Questions!$A$2:$X$333,17,0)&amp;"",IF($C53="No",VLOOKUP($A53,Questions!$A$2:$X$333,16,0)&amp;"",VLOOKUP($A53,Questions!$A$2:$X$333,15,0)&amp;"")))</f>
        <v>Based on the response to REQU-05 on the "START HERE" tab, this question does not apply to this product or service.</v>
      </c>
      <c r="F53" s="208" t="str">
        <f>VLOOKUP($A53,'Institution Evaluation'!$A$56:$F$346,6,0)&amp;""</f>
        <v/>
      </c>
      <c r="I53" s="42"/>
      <c r="J53" s="42"/>
    </row>
    <row r="54" spans="1:10" s="1" customFormat="1" ht="49.5" customHeight="1">
      <c r="A54" s="25" t="s">
        <v>647</v>
      </c>
      <c r="B54" s="24" t="str">
        <f>VLOOKUP($A54,Questions!$A$2:$X$333,2,0)</f>
        <v>Does the application log administrative activity, such as user account access changes and password changes, including specific user, date/time of changes, and originating IP or device?</v>
      </c>
      <c r="C54" s="27"/>
      <c r="D54" s="340"/>
      <c r="E54" s="174" t="str">
        <f>IF($C$19="No",'Auto Responses'!$A$7,IF($C54="Yes",VLOOKUP($A54,Questions!$A$2:$X$333,17,0)&amp;"",IF($C54="No",VLOOKUP($A54,Questions!$A$2:$X$333,16,0)&amp;"",VLOOKUP($A54,Questions!$A$2:$X$333,15,0)&amp;"")))</f>
        <v>Based on the response to REQU-05 on the "START HERE" tab, this question does not apply to this product or service.</v>
      </c>
      <c r="F54" s="208" t="str">
        <f>VLOOKUP($A54,'Institution Evaluation'!$A$56:$F$346,6,0)&amp;""</f>
        <v/>
      </c>
      <c r="I54" s="42"/>
      <c r="J54" s="42"/>
    </row>
    <row r="55" spans="1:10" s="1" customFormat="1" ht="49.5" customHeight="1">
      <c r="A55" s="25" t="s">
        <v>649</v>
      </c>
      <c r="B55" s="24" t="str">
        <f>VLOOKUP($A55,Questions!$A$2:$X$333,2,0)</f>
        <v>Do you retain logs for at least as long as required by HIPAA regulations?</v>
      </c>
      <c r="C55" s="83"/>
      <c r="D55" s="340"/>
      <c r="E55" s="174" t="str">
        <f>IF($C$19="No",'Auto Responses'!$A$7,IF($C55="Yes",VLOOKUP($A55,Questions!$A$2:$X$333,17,0)&amp;"",IF($C55="No",VLOOKUP($A55,Questions!$A$2:$X$333,16,0)&amp;"",VLOOKUP($A55,Questions!$A$2:$X$333,15,0)&amp;"")))</f>
        <v>Based on the response to REQU-05 on the "START HERE" tab, this question does not apply to this product or service.</v>
      </c>
      <c r="F55" s="208" t="str">
        <f>VLOOKUP($A55,'Institution Evaluation'!$A$56:$F$346,6,0)&amp;""</f>
        <v/>
      </c>
      <c r="I55" s="42"/>
      <c r="J55" s="42"/>
    </row>
    <row r="56" spans="1:10" s="1" customFormat="1" ht="49.5" customHeight="1">
      <c r="A56" s="25" t="s">
        <v>651</v>
      </c>
      <c r="B56" s="24" t="str">
        <f>VLOOKUP($A56,Questions!$A$2:$X$333,2,0)</f>
        <v>Can the application logs be archived?</v>
      </c>
      <c r="C56" s="27"/>
      <c r="D56" s="340"/>
      <c r="E56" s="174" t="str">
        <f>IF($C$19="No",'Auto Responses'!$A$7,IF($C56="Yes",VLOOKUP($A56,Questions!$A$2:$X$333,17,0)&amp;"",IF($C56="No",VLOOKUP($A56,Questions!$A$2:$X$333,16,0)&amp;"",VLOOKUP($A56,Questions!$A$2:$X$333,15,0)&amp;"")))</f>
        <v>Based on the response to REQU-05 on the "START HERE" tab, this question does not apply to this product or service.</v>
      </c>
      <c r="F56" s="208" t="str">
        <f>VLOOKUP($A56,'Institution Evaluation'!$A$56:$F$346,6,0)&amp;""</f>
        <v/>
      </c>
      <c r="I56" s="42"/>
      <c r="J56" s="42"/>
    </row>
    <row r="57" spans="1:10" s="1" customFormat="1" ht="49.5" customHeight="1">
      <c r="A57" s="25" t="s">
        <v>653</v>
      </c>
      <c r="B57" s="24" t="str">
        <f>VLOOKUP($A57,Questions!$A$2:$X$333,2,0)</f>
        <v>Can the application logs be saved externally?</v>
      </c>
      <c r="C57" s="27"/>
      <c r="D57" s="340"/>
      <c r="E57" s="174" t="str">
        <f>IF($C$19="No",'Auto Responses'!$A$7,IF($C57="Yes",VLOOKUP($A57,Questions!$A$2:$X$333,17,0)&amp;"",IF($C57="No",VLOOKUP($A57,Questions!$A$2:$X$333,16,0)&amp;"",VLOOKUP($A57,Questions!$A$2:$X$333,15,0)&amp;"")))</f>
        <v>Based on the response to REQU-05 on the "START HERE" tab, this question does not apply to this product or service.</v>
      </c>
      <c r="F57" s="208" t="str">
        <f>VLOOKUP($A57,'Institution Evaluation'!$A$56:$F$346,6,0)&amp;""</f>
        <v/>
      </c>
      <c r="I57" s="42"/>
      <c r="J57" s="42"/>
    </row>
    <row r="58" spans="1:10" s="1" customFormat="1" ht="49.5" customHeight="1">
      <c r="A58" s="25" t="s">
        <v>655</v>
      </c>
      <c r="B58" s="24" t="str">
        <f>VLOOKUP($A58,Questions!$A$2:$X$333,2,0)</f>
        <v>Do you have a disaster recovery plan and emergency mode operation plan?</v>
      </c>
      <c r="C58" s="27"/>
      <c r="D58" s="340"/>
      <c r="E58" s="174" t="str">
        <f>IF($C$19="No",'Auto Responses'!$A$7,IF($C58="Yes",VLOOKUP($A58,Questions!$A$2:$X$333,17,0)&amp;"",IF($C58="No",VLOOKUP($A58,Questions!$A$2:$X$333,16,0)&amp;"",VLOOKUP($A58,Questions!$A$2:$X$333,15,0)&amp;"")))</f>
        <v>Based on the response to REQU-05 on the "START HERE" tab, this question does not apply to this product or service.</v>
      </c>
      <c r="F58" s="208" t="str">
        <f>VLOOKUP($A58,'Institution Evaluation'!$A$56:$F$346,6,0)&amp;""</f>
        <v/>
      </c>
      <c r="I58" s="42"/>
      <c r="J58" s="42"/>
    </row>
    <row r="59" spans="1:10" s="1" customFormat="1" ht="49.5" customHeight="1">
      <c r="A59" s="25" t="s">
        <v>656</v>
      </c>
      <c r="B59" s="24" t="str">
        <f>VLOOKUP($A59,Questions!$A$2:$X$333,2,0)</f>
        <v>Can you provide a HIPAA compliance attestation document?</v>
      </c>
      <c r="C59" s="27"/>
      <c r="D59" s="340"/>
      <c r="E59" s="174" t="str">
        <f>IF($C$19="No",'Auto Responses'!$A$7,IF($C59="Yes",VLOOKUP($A59,Questions!$A$2:$X$333,17,0)&amp;"",IF($C59="No",VLOOKUP($A59,Questions!$A$2:$X$333,16,0)&amp;"",VLOOKUP($A59,Questions!$A$2:$X$333,15,0)&amp;"")))</f>
        <v>Based on the response to REQU-05 on the "START HERE" tab, this question does not apply to this product or service.</v>
      </c>
      <c r="F59" s="208" t="str">
        <f>VLOOKUP($A59,'Institution Evaluation'!$A$56:$F$346,6,0)&amp;""</f>
        <v/>
      </c>
      <c r="I59" s="42"/>
      <c r="J59" s="42"/>
    </row>
    <row r="60" spans="1:10" s="1" customFormat="1" ht="49.5" customHeight="1">
      <c r="A60" s="25" t="s">
        <v>658</v>
      </c>
      <c r="B60" s="24" t="str">
        <f>VLOOKUP($A60,Questions!$A$2:$X$333,2,0)</f>
        <v>Are you willing to enter into a Business Associate Agreement (BAA)?</v>
      </c>
      <c r="C60" s="27"/>
      <c r="D60" s="340"/>
      <c r="E60" s="174" t="str">
        <f>IF($C$19="No",'Auto Responses'!$A$7,IF($C60="Yes",VLOOKUP($A60,Questions!$A$2:$X$333,17,0)&amp;"",IF($C60="No",VLOOKUP($A60,Questions!$A$2:$X$333,16,0)&amp;"",VLOOKUP($A60,Questions!$A$2:$X$333,15,0)&amp;"")))</f>
        <v>Based on the response to REQU-05 on the "START HERE" tab, this question does not apply to this product or service.</v>
      </c>
      <c r="F60" s="208" t="str">
        <f>VLOOKUP($A60,'Institution Evaluation'!$A$56:$F$346,6,0)&amp;""</f>
        <v/>
      </c>
      <c r="I60" s="42"/>
      <c r="J60" s="42"/>
    </row>
    <row r="61" spans="1:10" s="1" customFormat="1" ht="49.5" customHeight="1" thickBot="1">
      <c r="A61" s="25" t="s">
        <v>660</v>
      </c>
      <c r="B61" s="24" t="str">
        <f>VLOOKUP($A61,Questions!$A$2:$X$333,2,0)</f>
        <v>Do your data backup and retention policies and practices meet HIPAA requirements?</v>
      </c>
      <c r="C61" s="27"/>
      <c r="D61" s="340"/>
      <c r="E61" s="174" t="str">
        <f>IF($C$19="No",'Auto Responses'!$A$7,IF($C61="Yes",VLOOKUP($A61,Questions!$A$2:$X$333,17,0)&amp;"",IF($C61="No",VLOOKUP($A61,Questions!$A$2:$X$333,16,0)&amp;"",VLOOKUP($A61,Questions!$A$2:$X$333,15,0)&amp;"")))</f>
        <v>Based on the response to REQU-05 on the "START HERE" tab, this question does not apply to this product or service.</v>
      </c>
      <c r="F61" s="208" t="str">
        <f>VLOOKUP($A61,'Institution Evaluation'!$A$56:$F$346,6,0)&amp;""</f>
        <v/>
      </c>
      <c r="G61" s="255" t="s">
        <v>1531</v>
      </c>
      <c r="I61" s="42"/>
      <c r="J61" s="42"/>
    </row>
    <row r="62" spans="1:10" s="1" customFormat="1" ht="37.25" customHeight="1" thickBot="1">
      <c r="A62" s="70" t="str">
        <f>VLOOKUP(LEFT($A63,4),'Auto Responses'!$N$4:$O$38,2,0)&amp;""</f>
        <v xml:space="preserve"> Payment Card Industry Data Security Standard (PCI DSS)</v>
      </c>
      <c r="B62" s="29"/>
      <c r="C62" s="19" t="s">
        <v>1583</v>
      </c>
      <c r="D62" s="19" t="s">
        <v>72</v>
      </c>
      <c r="E62" s="38" t="s">
        <v>904</v>
      </c>
      <c r="F62" s="194" t="s">
        <v>905</v>
      </c>
      <c r="I62" s="42"/>
      <c r="J62" s="42"/>
    </row>
    <row r="63" spans="1:10" s="1" customFormat="1" ht="38.25" customHeight="1">
      <c r="A63" s="25" t="s">
        <v>661</v>
      </c>
      <c r="B63" s="24" t="str">
        <f>VLOOKUP($A63,Questions!$A$2:$X$333,2,0)</f>
        <v>Do you have a current, executed within the past year, Attestation of Compliance (AoC) or Report on Compliance (RoC)?*</v>
      </c>
      <c r="C63" s="27"/>
      <c r="D63" s="340"/>
      <c r="E63" s="174" t="str">
        <f>IF($C$20="No",'Auto Responses'!$A$8,IF($C63="Yes",VLOOKUP($A63,Questions!$A$2:$X$333,17,0)&amp;"",IF($C63="No",VLOOKUP($A63,Questions!$A$2:$X$333,16,0)&amp;"",VLOOKUP($A63,Questions!$A$2:$X$333,15,0)&amp;"")))</f>
        <v>Based on the response to REQU-06 on the "START HERE" tab, this question does not apply to this product or service.</v>
      </c>
      <c r="F63" s="208" t="str">
        <f>VLOOKUP($A63,'Institution Evaluation'!$A$56:$F$346,6,0)&amp;""</f>
        <v/>
      </c>
      <c r="I63" s="42"/>
      <c r="J63" s="42"/>
    </row>
    <row r="64" spans="1:10" s="1" customFormat="1" ht="38.25" customHeight="1">
      <c r="A64" s="25" t="s">
        <v>665</v>
      </c>
      <c r="B64" s="24" t="str">
        <f>VLOOKUP($A64,Questions!$A$2:$X$333,2,0)</f>
        <v>Is the application listed as an approved Payment Application Data Security Standard (PA-DSS) application?*</v>
      </c>
      <c r="C64" s="27"/>
      <c r="D64" s="340"/>
      <c r="E64" s="174" t="str">
        <f>IF($C$20="No",'Auto Responses'!$A$8,IF($C64="Yes",VLOOKUP($A64,Questions!$A$2:$X$333,17,0)&amp;"",IF($C64="No",VLOOKUP($A64,Questions!$A$2:$X$333,16,0)&amp;"",VLOOKUP($A64,Questions!$A$2:$X$333,15,0)&amp;"")))</f>
        <v>Based on the response to REQU-06 on the "START HERE" tab, this question does not apply to this product or service.</v>
      </c>
      <c r="F64" s="208" t="str">
        <f>VLOOKUP($A64,'Institution Evaluation'!$A$56:$F$346,6,0)&amp;""</f>
        <v/>
      </c>
      <c r="I64" s="42"/>
      <c r="J64" s="42"/>
    </row>
    <row r="65" spans="1:10" s="1" customFormat="1" ht="38.25" customHeight="1">
      <c r="A65" s="25" t="s">
        <v>667</v>
      </c>
      <c r="B65" s="24" t="str">
        <f>VLOOKUP($A65,Questions!$A$2:$X$333,2,0)</f>
        <v>Does the system or solutions use a third party to collect, store, process, or transmit cardholder (payment/credit/debt card) data?*</v>
      </c>
      <c r="C65" s="27"/>
      <c r="D65" s="340"/>
      <c r="E65" s="174" t="str">
        <f>IF($C$20="No",'Auto Responses'!$A$8,IF($C65="Yes",VLOOKUP($A65,Questions!$A$2:$X$333,17,0)&amp;"",IF($C65="No",VLOOKUP($A65,Questions!$A$2:$X$333,16,0)&amp;"",VLOOKUP($A65,Questions!$A$2:$X$333,15,0)&amp;"")))</f>
        <v>Based on the response to REQU-06 on the "START HERE" tab, this question does not apply to this product or service.</v>
      </c>
      <c r="F65" s="208" t="str">
        <f>VLOOKUP($A65,'Institution Evaluation'!$A$56:$F$346,6,0)&amp;""</f>
        <v/>
      </c>
      <c r="I65" s="42"/>
      <c r="J65" s="42"/>
    </row>
    <row r="66" spans="1:10" s="1" customFormat="1" ht="38.25" customHeight="1">
      <c r="A66" s="25" t="s">
        <v>668</v>
      </c>
      <c r="B66" s="24" t="str">
        <f>VLOOKUP($A66,Questions!$A$2:$X$333,2,0)</f>
        <v>Do your systems or solutions store, process, or transmit cardholder (payment/credit/debt card) data?</v>
      </c>
      <c r="C66" s="27"/>
      <c r="D66" s="340"/>
      <c r="E66" s="174" t="str">
        <f>IF($C$20="No",'Auto Responses'!$A$8,IF($C66="Yes",VLOOKUP($A66,Questions!$A$2:$X$333,17,0)&amp;"",IF($C66="No",VLOOKUP($A66,Questions!$A$2:$X$333,16,0)&amp;"",VLOOKUP($A66,Questions!$A$2:$X$333,15,0)&amp;"")))</f>
        <v>Based on the response to REQU-06 on the "START HERE" tab, this question does not apply to this product or service.</v>
      </c>
      <c r="F66" s="208" t="str">
        <f>VLOOKUP($A66,'Institution Evaluation'!$A$56:$F$346,6,0)&amp;""</f>
        <v/>
      </c>
      <c r="I66" s="42"/>
      <c r="J66" s="42"/>
    </row>
    <row r="67" spans="1:10" s="1" customFormat="1" ht="38.25" customHeight="1">
      <c r="A67" s="25" t="s">
        <v>670</v>
      </c>
      <c r="B67" s="24" t="str">
        <f>VLOOKUP($A67,Questions!$A$2:$X$333,2,0)</f>
        <v>Are you compliant with the Payment Card Industry Data Security Standard (PCI DSS)?</v>
      </c>
      <c r="C67" s="27"/>
      <c r="D67" s="340"/>
      <c r="E67" s="174" t="str">
        <f>IF($C$20="No",'Auto Responses'!$A$8,IF($C67="Yes",VLOOKUP($A67,Questions!$A$2:$X$333,17,0)&amp;"",IF($C67="No",VLOOKUP($A67,Questions!$A$2:$X$333,16,0)&amp;"",VLOOKUP($A67,Questions!$A$2:$X$333,15,0)&amp;"")))</f>
        <v>Based on the response to REQU-06 on the "START HERE" tab, this question does not apply to this product or service.</v>
      </c>
      <c r="F67" s="208" t="str">
        <f>VLOOKUP($A67,'Institution Evaluation'!$A$56:$F$346,6,0)&amp;""</f>
        <v/>
      </c>
      <c r="I67" s="42"/>
      <c r="J67" s="42"/>
    </row>
    <row r="68" spans="1:10" s="1" customFormat="1" ht="38.25" customHeight="1">
      <c r="A68" s="25" t="s">
        <v>671</v>
      </c>
      <c r="B68" s="24" t="str">
        <f>VLOOKUP($A68,Questions!$A$2:$X$333,2,0)</f>
        <v>Are you classified as a service provider?</v>
      </c>
      <c r="C68" s="27"/>
      <c r="D68" s="340"/>
      <c r="E68" s="174" t="str">
        <f>IF($C$20="No",'Auto Responses'!$A$8,IF($C68="Yes",VLOOKUP($A68,Questions!$A$2:$X$333,17,0)&amp;"",IF($C68="No",VLOOKUP($A68,Questions!$A$2:$X$333,16,0)&amp;"",VLOOKUP($A68,Questions!$A$2:$X$333,15,0)&amp;"")))</f>
        <v>Based on the response to REQU-06 on the "START HERE" tab, this question does not apply to this product or service.</v>
      </c>
      <c r="F68" s="208" t="str">
        <f>VLOOKUP($A68,'Institution Evaluation'!$A$56:$F$346,6,0)&amp;""</f>
        <v/>
      </c>
      <c r="I68" s="42"/>
      <c r="J68" s="42"/>
    </row>
    <row r="69" spans="1:10" s="1" customFormat="1" ht="38.25" customHeight="1">
      <c r="A69" s="25" t="s">
        <v>673</v>
      </c>
      <c r="B69" s="24" t="str">
        <f>VLOOKUP($A69,Questions!$A$2:$X$333,2,0)</f>
        <v>Are you on the list of Visa approved service providers?</v>
      </c>
      <c r="C69" s="27"/>
      <c r="D69" s="340"/>
      <c r="E69" s="174" t="str">
        <f>IF($C$20="No",'Auto Responses'!$A$8,IF($C69="Yes",VLOOKUP($A69,Questions!$A$2:$X$333,17,0)&amp;"",IF($C69="No",VLOOKUP($A69,Questions!$A$2:$X$333,16,0)&amp;"",VLOOKUP($A69,Questions!$A$2:$X$333,15,0)&amp;"")))</f>
        <v>Based on the response to REQU-06 on the "START HERE" tab, this question does not apply to this product or service.</v>
      </c>
      <c r="F69" s="208" t="str">
        <f>VLOOKUP($A69,'Institution Evaluation'!$A$56:$F$346,6,0)&amp;""</f>
        <v/>
      </c>
      <c r="I69" s="42"/>
      <c r="J69" s="42"/>
    </row>
    <row r="70" spans="1:10" s="1" customFormat="1" ht="48" customHeight="1">
      <c r="A70" s="25" t="s">
        <v>675</v>
      </c>
      <c r="B70" s="24" t="str">
        <f>VLOOKUP($A70,Questions!$A$2:$X$333,2,0)</f>
        <v>Are you classified as a merchant? If so, what level (1, 2, 3, 4)?</v>
      </c>
      <c r="C70" s="27"/>
      <c r="D70" s="340"/>
      <c r="E70" s="174" t="str">
        <f>IF($C$20="No",'Auto Responses'!$A$8,IF($C70="Yes",VLOOKUP($A70,Questions!$A$2:$X$333,17,0)&amp;"",IF($C70="No",VLOOKUP($A70,Questions!$A$2:$X$333,16,0)&amp;"",VLOOKUP($A70,Questions!$A$2:$X$333,15,0)&amp;"")))</f>
        <v>Based on the response to REQU-06 on the "START HERE" tab, this question does not apply to this product or service.</v>
      </c>
      <c r="F70" s="208" t="str">
        <f>VLOOKUP($A70,'Institution Evaluation'!$A$56:$F$346,6,0)&amp;""</f>
        <v/>
      </c>
      <c r="I70" s="42"/>
      <c r="J70" s="42"/>
    </row>
    <row r="71" spans="1:10" s="1" customFormat="1" ht="38.25" customHeight="1">
      <c r="A71" s="25" t="s">
        <v>677</v>
      </c>
      <c r="B71" s="24" t="str">
        <f>VLOOKUP($A71,Questions!$A$2:$X$333,2,0)</f>
        <v>Describe the architecture employed by the system to verify and authorize credit card transactions.</v>
      </c>
      <c r="C71" s="27"/>
      <c r="D71" s="340"/>
      <c r="E71" s="174" t="str">
        <f>IF($C$20="No",'Auto Responses'!$A$8,IF($C71="Yes",VLOOKUP($A71,Questions!$A$2:$X$333,17,0)&amp;"",IF($C71="No",VLOOKUP($A71,Questions!$A$2:$X$333,16,0)&amp;"",VLOOKUP($A71,Questions!$A$2:$X$333,15,0)&amp;"")))</f>
        <v>Based on the response to REQU-06 on the "START HERE" tab, this question does not apply to this product or service.</v>
      </c>
      <c r="F71" s="208" t="str">
        <f>VLOOKUP($A71,'Institution Evaluation'!$A$56:$F$346,6,0)&amp;""</f>
        <v/>
      </c>
      <c r="I71" s="42"/>
      <c r="J71" s="42"/>
    </row>
    <row r="72" spans="1:10" s="1" customFormat="1" ht="38.25" customHeight="1">
      <c r="A72" s="25" t="s">
        <v>678</v>
      </c>
      <c r="B72" s="24" t="str">
        <f>VLOOKUP($A72,Questions!$A$2:$X$333,2,0)</f>
        <v>What payment processors/gateways does the system support?</v>
      </c>
      <c r="C72" s="27"/>
      <c r="D72" s="340"/>
      <c r="E72" s="174" t="str">
        <f>IF($C$20="No",'Auto Responses'!$A$8,IF($C72="Yes",VLOOKUP($A72,Questions!$A$2:$X$333,17,0)&amp;"",IF($C72="No",VLOOKUP($A72,Questions!$A$2:$X$333,16,0)&amp;"",VLOOKUP($A72,Questions!$A$2:$X$333,15,0)&amp;"")))</f>
        <v>Based on the response to REQU-06 on the "START HERE" tab, this question does not apply to this product or service.</v>
      </c>
      <c r="F72" s="208" t="str">
        <f>VLOOKUP($A72,'Institution Evaluation'!$A$56:$F$346,6,0)&amp;""</f>
        <v/>
      </c>
      <c r="I72" s="42"/>
      <c r="J72" s="42"/>
    </row>
    <row r="73" spans="1:10" s="1" customFormat="1" ht="38.25" customHeight="1">
      <c r="A73" s="25" t="s">
        <v>679</v>
      </c>
      <c r="B73" s="24" t="str">
        <f>VLOOKUP($A73,Questions!$A$2:$X$333,2,0)</f>
        <v>Can the application be installed in a PCI DSS–compliant manner?</v>
      </c>
      <c r="C73" s="27"/>
      <c r="D73" s="340"/>
      <c r="E73" s="174" t="str">
        <f>IF($C$20="No",'Auto Responses'!$A$8,IF($C73="Yes",VLOOKUP($A73,Questions!$A$2:$X$333,17,0)&amp;"",IF($C73="No",VLOOKUP($A73,Questions!$A$2:$X$333,16,0)&amp;"",VLOOKUP($A73,Questions!$A$2:$X$333,15,0)&amp;"")))</f>
        <v>Based on the response to REQU-06 on the "START HERE" tab, this question does not apply to this product or service.</v>
      </c>
      <c r="F73" s="208" t="str">
        <f>VLOOKUP($A73,'Institution Evaluation'!$A$56:$F$346,6,0)&amp;""</f>
        <v/>
      </c>
      <c r="I73" s="42"/>
      <c r="J73" s="42"/>
    </row>
    <row r="74" spans="1:10" s="1" customFormat="1" ht="71.25" customHeight="1" thickBot="1">
      <c r="A74" s="25" t="s">
        <v>680</v>
      </c>
      <c r="B74" s="24" t="str">
        <f>VLOOKUP($A74,Questions!$A$2:$X$333,2,0)</f>
        <v>Include documentation describing the system's abilities to comply with the PCI DSS and any features or capabilities of the system that must be added or changed in order to operate in compliance with the standards.</v>
      </c>
      <c r="C74" s="83"/>
      <c r="D74" s="340"/>
      <c r="E74" s="174" t="str">
        <f>IF($C$20="No",'Auto Responses'!$A$8,IF($C74="Yes",VLOOKUP($A74,Questions!$A$2:$X$333,17,0)&amp;"",IF($C74="No",VLOOKUP($A74,Questions!$A$2:$X$333,16,0)&amp;"",VLOOKUP($A74,Questions!$A$2:$X$333,15,0)&amp;"")))</f>
        <v>Based on the response to REQU-06 on the "START HERE" tab, this question does not apply to this product or service.</v>
      </c>
      <c r="F74" s="208" t="str">
        <f>VLOOKUP($A74,'Institution Evaluation'!$A$56:$F$346,6,0)&amp;""</f>
        <v/>
      </c>
      <c r="G74" s="255" t="s">
        <v>1531</v>
      </c>
      <c r="I74" s="42"/>
      <c r="J74" s="42"/>
    </row>
    <row r="75" spans="1:10" s="1" customFormat="1" ht="37.25" customHeight="1" thickBot="1">
      <c r="A75" s="70" t="str">
        <f>VLOOKUP(LEFT($A76,4),'Auto Responses'!$N$4:$O$38,2,0)&amp;""</f>
        <v xml:space="preserve"> On-Premises Data Solutions</v>
      </c>
      <c r="B75" s="29"/>
      <c r="C75" s="19" t="s">
        <v>1583</v>
      </c>
      <c r="D75" s="19" t="s">
        <v>72</v>
      </c>
      <c r="E75" s="38" t="s">
        <v>904</v>
      </c>
      <c r="F75" s="194" t="s">
        <v>905</v>
      </c>
      <c r="I75" s="42"/>
      <c r="J75" s="42"/>
    </row>
    <row r="76" spans="1:10" s="1" customFormat="1" ht="36" customHeight="1">
      <c r="A76" s="25" t="s">
        <v>681</v>
      </c>
      <c r="B76" s="24" t="str">
        <f>VLOOKUP($A76,Questions!$A$2:$X$333,2,0)</f>
        <v>Do you support role-based access control (RBAC) for system administrators?</v>
      </c>
      <c r="C76" s="27"/>
      <c r="D76" s="340"/>
      <c r="E76" s="174" t="str">
        <f>IF($C$21="No",'Auto Responses'!$A$9,IF($C76="Yes",VLOOKUP($A76,Questions!$A$2:$X$333,17,0)&amp;"",IF($C76="No",VLOOKUP($A76,Questions!$A$2:$X$333,16,0)&amp;"",VLOOKUP($A76,Questions!$A$2:$X$333,15,0)&amp;"")))</f>
        <v>Based on the response to REQU-07 on the "START HERE" tab, this question does not apply to this product or service.</v>
      </c>
      <c r="F76" s="208" t="str">
        <f>VLOOKUP($A76,'Institution Evaluation'!$A$56:$F$346,6,0)&amp;""</f>
        <v/>
      </c>
      <c r="I76" s="42"/>
      <c r="J76" s="42"/>
    </row>
    <row r="77" spans="1:10" s="1" customFormat="1" ht="28.5" customHeight="1">
      <c r="A77" s="25" t="s">
        <v>683</v>
      </c>
      <c r="B77" s="24" t="str">
        <f>VLOOKUP($A77,Questions!$A$2:$X$333,2,0)</f>
        <v>Can your employees access customer systems remotely?</v>
      </c>
      <c r="C77" s="27"/>
      <c r="D77" s="340"/>
      <c r="E77" s="174" t="str">
        <f>IF($C$21="No",'Auto Responses'!$A$9,IF($C77="Yes",VLOOKUP($A77,Questions!$A$2:$X$333,17,0)&amp;"",IF($C77="No",VLOOKUP($A77,Questions!$A$2:$X$333,16,0)&amp;"",VLOOKUP($A77,Questions!$A$2:$X$333,15,0)&amp;"")))</f>
        <v>Based on the response to REQU-07 on the "START HERE" tab, this question does not apply to this product or service.</v>
      </c>
      <c r="F77" s="208" t="str">
        <f>VLOOKUP($A77,'Institution Evaluation'!$A$56:$F$346,6,0)&amp;""</f>
        <v/>
      </c>
      <c r="I77" s="42"/>
      <c r="J77" s="42"/>
    </row>
    <row r="78" spans="1:10" s="1" customFormat="1" ht="68.25" customHeight="1">
      <c r="A78" s="25" t="s">
        <v>687</v>
      </c>
      <c r="B78" s="24" t="str">
        <f>VLOOKUP($A78,Questions!$A$2:$X$333,2,0)</f>
        <v>Can you provide overall system and/or application architecture diagrams including a full description of the data communications architecture for all components of the system?</v>
      </c>
      <c r="C78" s="27"/>
      <c r="D78" s="340"/>
      <c r="E78" s="174" t="str">
        <f>IF($C$21="No",'Auto Responses'!$A$9,IF($C78="Yes",VLOOKUP($A78,Questions!$A$2:$X$333,17,0)&amp;"",IF($C78="No",VLOOKUP($A78,Questions!$A$2:$X$333,16,0)&amp;"",VLOOKUP($A78,Questions!$A$2:$X$333,15,0)&amp;"")))</f>
        <v>Based on the response to REQU-07 on the "START HERE" tab, this question does not apply to this product or service.</v>
      </c>
      <c r="F78" s="208" t="str">
        <f>VLOOKUP($A78,'Institution Evaluation'!$A$56:$F$346,6,0)&amp;""</f>
        <v/>
      </c>
      <c r="I78" s="42"/>
      <c r="J78" s="42"/>
    </row>
    <row r="79" spans="1:10" s="1" customFormat="1" ht="46.5" customHeight="1">
      <c r="A79" s="25" t="s">
        <v>691</v>
      </c>
      <c r="B79" s="24" t="str">
        <f>VLOOKUP($A79,Questions!$A$2:$X$333,2,0)</f>
        <v>Do you require remote management of the system?</v>
      </c>
      <c r="C79" s="27"/>
      <c r="D79" s="340"/>
      <c r="E79" s="174" t="str">
        <f>IF($C$21="No",'Auto Responses'!$A$9,IF($C79="Yes",VLOOKUP($A79,Questions!$A$2:$X$333,17,0)&amp;"",IF($C79="No",VLOOKUP($A79,Questions!$A$2:$X$333,16,0)&amp;"",VLOOKUP($A79,Questions!$A$2:$X$333,15,0)&amp;"")))</f>
        <v>Based on the response to REQU-07 on the "START HERE" tab, this question does not apply to this product or service.</v>
      </c>
      <c r="F79" s="208" t="str">
        <f>VLOOKUP($A79,'Institution Evaluation'!$A$56:$F$346,6,0)&amp;""</f>
        <v/>
      </c>
      <c r="I79" s="42"/>
      <c r="J79" s="42"/>
    </row>
    <row r="80" spans="1:10" s="1" customFormat="1" ht="60" customHeight="1">
      <c r="A80" s="25" t="s">
        <v>694</v>
      </c>
      <c r="B80" s="24" t="str">
        <f>VLOOKUP($A80,Questions!$A$2:$X$333,2,0)</f>
        <v>If you answered "yes" to OPEM-04, are your remote actions and changes logged or otherwise visible to the campus?</v>
      </c>
      <c r="C80" s="27"/>
      <c r="D80" s="340"/>
      <c r="E80" s="174" t="str">
        <f>IF($C$21="No",'Auto Responses'!$A$9,IF($C80="Yes",VLOOKUP($A80,Questions!$A$2:$X$333,17,0)&amp;"",IF($C80="No",VLOOKUP($A80,Questions!$A$2:$X$333,16,0)&amp;"",IF($C80="N/A",VLOOKUP($A80,Questions!$A$2:$X$333,18,0)&amp;"",VLOOKUP($A80,Questions!$A$2:$X$333,15,0)&amp;""))))</f>
        <v>Based on the response to REQU-07 on the "START HERE" tab, this question does not apply to this product or service.</v>
      </c>
      <c r="F80" s="208" t="str">
        <f>VLOOKUP($A80,'Institution Evaluation'!$A$56:$F$346,6,0)&amp;""</f>
        <v/>
      </c>
      <c r="I80" s="42"/>
      <c r="J80" s="42"/>
    </row>
    <row r="81" spans="1:12" s="1" customFormat="1" ht="47.25" customHeight="1">
      <c r="A81" s="25" t="s">
        <v>698</v>
      </c>
      <c r="B81" s="24" t="str">
        <f>VLOOKUP($A81,Questions!$A$2:$X$333,2,0)</f>
        <v>If you maintain remote access to the system, will you handle data in a FERPA-compliant manner?</v>
      </c>
      <c r="C81" s="27"/>
      <c r="D81" s="340"/>
      <c r="E81" s="174" t="str">
        <f>IF($C$21="No",'Auto Responses'!$A$9,IF($C81="Yes",VLOOKUP($A81,Questions!$A$2:$X$333,17,0)&amp;"",IF($C81="No",VLOOKUP($A81,Questions!$A$2:$X$333,16,0)&amp;"",VLOOKUP($A81,Questions!$A$2:$X$333,15,0)&amp;"")))</f>
        <v>Based on the response to REQU-07 on the "START HERE" tab, this question does not apply to this product or service.</v>
      </c>
      <c r="F81" s="208" t="str">
        <f>VLOOKUP($A81,'Institution Evaluation'!$A$56:$F$346,6,0)&amp;""</f>
        <v/>
      </c>
      <c r="I81" s="42"/>
      <c r="J81" s="42"/>
    </row>
    <row r="82" spans="1:12" s="1" customFormat="1" ht="43.5" customHeight="1">
      <c r="A82" s="25" t="s">
        <v>700</v>
      </c>
      <c r="B82" s="24" t="str">
        <f>VLOOKUP($A82,Questions!$A$2:$X$333,2,0)</f>
        <v>Do you support campus status monitoring through SNMPv3 or other means?</v>
      </c>
      <c r="C82" s="27"/>
      <c r="D82" s="340"/>
      <c r="E82" s="174" t="str">
        <f>IF($C$21="No",'Auto Responses'!$A$9,IF($C82="Yes",VLOOKUP($A82,Questions!$A$2:$X$333,17,0)&amp;"",IF($C82="No",VLOOKUP($A82,Questions!$A$2:$X$333,16,0)&amp;"",VLOOKUP($A82,Questions!$A$2:$X$333,15,0)&amp;"")))</f>
        <v>Based on the response to REQU-07 on the "START HERE" tab, this question does not apply to this product or service.</v>
      </c>
      <c r="F82" s="208" t="str">
        <f>VLOOKUP($A82,'Institution Evaluation'!$A$56:$F$346,6,0)&amp;""</f>
        <v/>
      </c>
      <c r="I82" s="42"/>
      <c r="J82" s="42"/>
    </row>
    <row r="83" spans="1:12" s="1" customFormat="1" ht="42" customHeight="1">
      <c r="A83" s="25" t="s">
        <v>703</v>
      </c>
      <c r="B83" s="24" t="str">
        <f>VLOOKUP($A83,Questions!$A$2:$X$333,2,0)</f>
        <v>Describe or provide a reference to any other safeguards used to monitor for malicious activity.</v>
      </c>
      <c r="C83" s="75"/>
      <c r="D83" s="340"/>
      <c r="E83" s="174" t="str">
        <f>IF($C$21="No",'Auto Responses'!$A$9,IF($C83="Yes",VLOOKUP($A83,Questions!$A$2:$X$333,17,0)&amp;"",IF($C83="No",VLOOKUP($A83,Questions!$A$2:$X$333,16,0)&amp;"",VLOOKUP($A83,Questions!$A$2:$X$333,15,0)&amp;"")))</f>
        <v>Based on the response to REQU-07 on the "START HERE" tab, this question does not apply to this product or service.</v>
      </c>
      <c r="F83" s="208" t="str">
        <f>VLOOKUP($A83,'Institution Evaluation'!$A$56:$F$346,6,0)&amp;""</f>
        <v/>
      </c>
      <c r="I83" s="42"/>
      <c r="J83" s="42"/>
    </row>
    <row r="84" spans="1:12" s="1" customFormat="1" ht="54" customHeight="1">
      <c r="A84" s="25" t="s">
        <v>704</v>
      </c>
      <c r="B84" s="24" t="str">
        <f>VLOOKUP($A84,Questions!$A$2:$X$333,2,0)</f>
        <v>Describe how long your organization has conducted business in this area.</v>
      </c>
      <c r="C84" s="75"/>
      <c r="D84" s="340"/>
      <c r="E84" s="174" t="str">
        <f>IF($C$21="No",'Auto Responses'!$A$9,IF($C84="Yes",VLOOKUP($A84,Questions!$A$2:$X$333,17,0)&amp;"",IF($C84="No",VLOOKUP($A84,Questions!$A$2:$X$333,16,0)&amp;"",VLOOKUP($A84,Questions!$A$2:$X$333,15,0)&amp;"")))</f>
        <v>Based on the response to REQU-07 on the "START HERE" tab, this question does not apply to this product or service.</v>
      </c>
      <c r="F84" s="208" t="str">
        <f>VLOOKUP($A84,'Institution Evaluation'!$A$56:$F$346,6,0)&amp;""</f>
        <v/>
      </c>
      <c r="I84" s="42"/>
      <c r="J84" s="42"/>
    </row>
    <row r="85" spans="1:12" s="1" customFormat="1" ht="39.75" customHeight="1">
      <c r="A85" s="25" t="s">
        <v>709</v>
      </c>
      <c r="B85" s="24" t="str">
        <f>VLOOKUP($A85,Questions!$A$2:$X$333,2,0)</f>
        <v>Do you have existing higher education customers?</v>
      </c>
      <c r="C85" s="27"/>
      <c r="D85" s="340"/>
      <c r="E85" s="174" t="str">
        <f>IF($C$21="No",'Auto Responses'!$A$9,IF($C85="Yes",VLOOKUP($A85,Questions!$A$2:$X$333,17,0)&amp;"",IF($C85="No",VLOOKUP($A85,Questions!$A$2:$X$333,16,0)&amp;"",VLOOKUP($A85,Questions!$A$2:$X$333,15,0)&amp;"")))</f>
        <v>Based on the response to REQU-07 on the "START HERE" tab, this question does not apply to this product or service.</v>
      </c>
      <c r="F85" s="208" t="str">
        <f>VLOOKUP($A85,'Institution Evaluation'!$A$56:$F$346,6,0)&amp;""</f>
        <v/>
      </c>
      <c r="G85" s="255" t="s">
        <v>1531</v>
      </c>
      <c r="I85" s="42"/>
      <c r="J85" s="42"/>
    </row>
    <row r="86" spans="1:12" s="1" customFormat="1" ht="36.75" customHeight="1">
      <c r="A86" s="285" t="s">
        <v>1593</v>
      </c>
      <c r="C86" s="14"/>
      <c r="D86" s="15"/>
      <c r="E86" s="16"/>
      <c r="I86" s="42"/>
      <c r="J86" s="42"/>
    </row>
    <row r="87" spans="1:12" ht="15" hidden="1" customHeight="1">
      <c r="A87" s="1"/>
      <c r="B87" s="14"/>
      <c r="C87" s="78"/>
      <c r="D87" s="16"/>
      <c r="E87" s="1"/>
      <c r="H87" s="42"/>
      <c r="I87" s="1"/>
      <c r="J87" s="1"/>
      <c r="L87"/>
    </row>
    <row r="88" spans="1:12" ht="0" hidden="1" customHeight="1">
      <c r="A88" s="25" t="e">
        <f>#REF!</f>
        <v>#REF!</v>
      </c>
    </row>
    <row r="89" spans="1:12" ht="0" hidden="1" customHeight="1">
      <c r="A89" s="25" t="e">
        <f>#REF!</f>
        <v>#REF!</v>
      </c>
    </row>
    <row r="90" spans="1:12" ht="0" hidden="1" customHeight="1">
      <c r="A90" s="25" t="e">
        <f>#REF!</f>
        <v>#REF!</v>
      </c>
    </row>
    <row r="91" spans="1:12" ht="0" hidden="1" customHeight="1">
      <c r="A91" s="25" t="e">
        <f>#REF!</f>
        <v>#REF!</v>
      </c>
    </row>
    <row r="92" spans="1:12" ht="0" hidden="1" customHeight="1">
      <c r="A92" s="25" t="e">
        <f>#REF!</f>
        <v>#REF!</v>
      </c>
    </row>
    <row r="93" spans="1:12" ht="0" hidden="1" customHeight="1">
      <c r="A93" s="25" t="e">
        <f>#REF!</f>
        <v>#REF!</v>
      </c>
    </row>
    <row r="94" spans="1:12" ht="0" hidden="1" customHeight="1">
      <c r="A94" s="25"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C23:C31 C85 C63:C73 C33:C54 C56:C61 C76:C79 C81:C82</xm:sqref>
        </x14:dataValidation>
        <x14:dataValidation type="list" allowBlank="1" showInputMessage="1" showErrorMessage="1" xr:uid="{EF1A7EE7-C7A2-403F-A736-199B3CEF11D0}">
          <x14:formula1>
            <xm:f>'Auto Responses'!$J$3:$J$5</xm:f>
          </x14:formula1>
          <xm:sqref>C80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45" zoomScale="80" zoomScaleNormal="80" workbookViewId="0">
      <selection activeCell="A2" sqref="A2"/>
    </sheetView>
  </sheetViews>
  <sheetFormatPr baseColWidth="10" defaultColWidth="0" defaultRowHeight="0" customHeight="1" zeroHeight="1"/>
  <cols>
    <col min="1" max="1" width="8.25" customWidth="1"/>
    <col min="2" max="2" width="55.125" style="1" customWidth="1"/>
    <col min="3" max="3" width="18.875" style="14" customWidth="1"/>
    <col min="4" max="4" width="55.75" style="15" customWidth="1"/>
    <col min="5" max="5" width="32" style="16" customWidth="1"/>
    <col min="6" max="6" width="30.75" style="205"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c r="A1" t="s">
        <v>1530</v>
      </c>
    </row>
    <row r="2" spans="1:10" ht="36" customHeight="1">
      <c r="A2" s="175" t="s">
        <v>1457</v>
      </c>
      <c r="B2" s="175"/>
      <c r="C2" s="176"/>
      <c r="D2" s="328"/>
      <c r="E2" s="177"/>
      <c r="F2" s="204" t="str">
        <f>'Auto Responses'!$A$36</f>
        <v>Version 4.1.0</v>
      </c>
      <c r="J2" s="1"/>
    </row>
    <row r="3" spans="1:10" s="1" customFormat="1" ht="29" customHeight="1">
      <c r="A3" s="44" t="s">
        <v>996</v>
      </c>
      <c r="B3" s="45"/>
      <c r="C3" s="73">
        <f>'START HERE'!$C$3</f>
        <v>46216</v>
      </c>
      <c r="D3" s="329"/>
      <c r="E3" s="43"/>
      <c r="F3" s="57"/>
      <c r="I3" s="42"/>
    </row>
    <row r="4" spans="1:10" s="1" customFormat="1" ht="36" customHeight="1">
      <c r="A4" s="17" t="s">
        <v>921</v>
      </c>
      <c r="B4" s="18"/>
      <c r="C4" s="19"/>
      <c r="D4" s="20"/>
      <c r="E4" s="21"/>
      <c r="F4" s="21"/>
      <c r="I4" s="42"/>
    </row>
    <row r="5" spans="1:10" s="1" customFormat="1" ht="19.5" customHeight="1">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c r="A8" s="49" t="str">
        <f>HLOOKUP($A$4,'Auto Responses'!$D$2:$D$8,5,0)&amp;""</f>
        <v>4. DO NOT complete any fields in the "Evaluation" sheets or the "Analyst Notes" column.</v>
      </c>
      <c r="B8" s="22"/>
      <c r="C8" s="74"/>
      <c r="D8" s="330"/>
      <c r="E8" s="22"/>
      <c r="F8" s="280"/>
      <c r="I8" s="42"/>
    </row>
    <row r="9" spans="1:10" s="1" customFormat="1" ht="19.5" customHeight="1">
      <c r="A9" s="49" t="str">
        <f>HLOOKUP($A$4,'Auto Responses'!$D$2:$D$8,6,0)&amp;""</f>
        <v>5. Return the completed file to institutions.</v>
      </c>
      <c r="B9" s="22"/>
      <c r="C9" s="74"/>
      <c r="D9" s="330"/>
      <c r="E9" s="22"/>
      <c r="F9" s="280"/>
      <c r="I9" s="42"/>
    </row>
    <row r="10" spans="1:10" s="1" customFormat="1" ht="19.5" customHeight="1">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c r="A11" s="264" t="str">
        <f>HLOOKUP($A$4,'Auto Responses'!$D$2:$D$9,8,0)&amp;""</f>
        <v>For full instructions, please visit educause.edu/HECVAT</v>
      </c>
      <c r="B11" s="22"/>
      <c r="C11" s="74"/>
      <c r="D11" s="330"/>
      <c r="E11" s="22"/>
      <c r="F11" s="281"/>
      <c r="I11" s="42"/>
    </row>
    <row r="12" spans="1:10" s="1" customFormat="1" ht="36" customHeight="1">
      <c r="A12" s="70" t="str">
        <f>VLOOKUP(LEFT($A13,4),'Auto Responses'!$N$4:$O$38,2,0)&amp;""</f>
        <v xml:space="preserve"> General Information</v>
      </c>
      <c r="B12" s="18"/>
      <c r="C12" s="19" t="s">
        <v>1583</v>
      </c>
      <c r="D12" s="331"/>
      <c r="E12" s="23"/>
      <c r="F12" s="23"/>
      <c r="I12" s="42"/>
      <c r="J12" s="42"/>
    </row>
    <row r="13" spans="1:10" s="1" customFormat="1" ht="22.25" customHeight="1">
      <c r="A13" s="25" t="s">
        <v>21</v>
      </c>
      <c r="B13" s="26" t="str">
        <f>VLOOKUP($A13,Questions!$A$2:$X$333,2,0)&amp;""</f>
        <v>Solution Provider Name</v>
      </c>
      <c r="C13" s="83" t="str">
        <f>VLOOKUP($A13,'START HERE'!$A$13:$C$21,3,0)&amp;""</f>
        <v>America's Software Corporation</v>
      </c>
      <c r="D13" s="39"/>
      <c r="E13" s="39"/>
      <c r="F13" s="57"/>
      <c r="I13" s="42"/>
      <c r="J13" s="42"/>
    </row>
    <row r="14" spans="1:10" s="1" customFormat="1" ht="22.25" customHeight="1">
      <c r="A14" s="25" t="s">
        <v>24</v>
      </c>
      <c r="B14" s="26" t="str">
        <f>VLOOKUP($A14,Questions!$A$2:$X$333,2,0)&amp;""</f>
        <v>Solution Name</v>
      </c>
      <c r="C14" s="83" t="str">
        <f>VLOOKUP($A14,'START HERE'!$A$13:$C$21,3,0)&amp;""</f>
        <v>TalEval, Discovery Pro</v>
      </c>
      <c r="D14" s="39"/>
      <c r="E14" s="39"/>
      <c r="F14" s="57"/>
      <c r="I14" s="42"/>
      <c r="J14" s="42"/>
    </row>
    <row r="15" spans="1:10" s="1" customFormat="1" ht="22.25" customHeight="1">
      <c r="A15" s="25" t="s">
        <v>25</v>
      </c>
      <c r="B15" s="26" t="str">
        <f>VLOOKUP($A15,Questions!$A$2:$X$333,2,0)&amp;""</f>
        <v>Solution Description</v>
      </c>
      <c r="C15" s="83" t="str">
        <f>VLOOKUP($A15,'START HERE'!$A$13:$C$21,3,0)&amp;""</f>
        <v>Dental Hygiene/COS Student  Tracking</v>
      </c>
      <c r="D15" s="39"/>
      <c r="E15" s="39"/>
      <c r="F15" s="57"/>
      <c r="I15" s="42"/>
      <c r="J15" s="42"/>
    </row>
    <row r="16" spans="1:10" s="1" customFormat="1" ht="22.25" customHeight="1" thickBot="1">
      <c r="A16" s="25" t="s">
        <v>30</v>
      </c>
      <c r="B16" s="26" t="str">
        <f>VLOOKUP($A16,Questions!$A$2:$X$333,2,0)&amp;""</f>
        <v>Country of Company Headquarters</v>
      </c>
      <c r="C16" s="83" t="str">
        <f>VLOOKUP($A16,'START HERE'!$A$13:$C$21,3,0)&amp;""</f>
        <v>USA</v>
      </c>
      <c r="D16" s="39"/>
      <c r="E16" s="39"/>
      <c r="F16" s="57"/>
      <c r="I16" s="42"/>
      <c r="J16" s="42"/>
    </row>
    <row r="17" spans="1:10" s="1" customFormat="1" ht="37.25" customHeight="1" thickBot="1">
      <c r="A17" s="70" t="str">
        <f>VLOOKUP(LEFT($A18,4),'Auto Responses'!$N$4:$O$38,2,0)&amp;""</f>
        <v xml:space="preserve"> Required Questions</v>
      </c>
      <c r="B17" s="29"/>
      <c r="C17" s="19" t="s">
        <v>1583</v>
      </c>
      <c r="D17" s="19" t="s">
        <v>72</v>
      </c>
      <c r="E17" s="38" t="s">
        <v>904</v>
      </c>
      <c r="F17" s="209" t="s">
        <v>905</v>
      </c>
      <c r="I17" s="42"/>
      <c r="J17" s="42"/>
    </row>
    <row r="18" spans="1:10" s="1" customFormat="1" ht="38.25" customHeight="1" thickBot="1">
      <c r="A18" s="25" t="s">
        <v>58</v>
      </c>
      <c r="B18" s="24" t="str">
        <f>VLOOKUP($A18,Questions!$A$2:$X$333,2,0)</f>
        <v>Does your solution have AI features, or are there plans to implement AI features in the next 12 months?</v>
      </c>
      <c r="C18" s="79" t="str">
        <f>VLOOKUP($A18,'START HERE'!$A$23:$F$36,3,0)&amp;""</f>
        <v>no</v>
      </c>
      <c r="D18" s="332" t="str">
        <f>VLOOKUP($A18,'START HERE'!$A$23:$F$36,4,0)&amp;""</f>
        <v/>
      </c>
      <c r="E18" s="174" t="str">
        <f>IF($C18="Yes",VLOOKUP($A18,Questions!$A$2:$X$333,17,0)&amp;"",IF($C18="No",VLOOKUP($A18,Questions!$A$2:$X$333,16,0)&amp;"",VLOOKUP($A18,Questions!$A$2:$X$333,15,0)&amp;""))</f>
        <v>DO NOT complete the Artificial Intelligence (AI) worksheet</v>
      </c>
      <c r="F18" s="208" t="str">
        <f>VLOOKUP($A18,'Institution Evaluation'!$A$56:$F$346,6,0)&amp;""</f>
        <v/>
      </c>
      <c r="G18" s="255" t="s">
        <v>1531</v>
      </c>
      <c r="I18" s="42"/>
      <c r="J18" s="42"/>
    </row>
    <row r="19" spans="1:10" s="1" customFormat="1" ht="37.25" customHeight="1" thickBot="1">
      <c r="A19" s="70" t="str">
        <f>VLOOKUP(LEFT($A20,4),'Auto Responses'!$N$4:$O$38,2,0)&amp;""</f>
        <v xml:space="preserve"> AI Qualifying Questions</v>
      </c>
      <c r="B19" s="29"/>
      <c r="C19" s="19" t="s">
        <v>1583</v>
      </c>
      <c r="D19" s="19" t="s">
        <v>72</v>
      </c>
      <c r="E19" s="38" t="s">
        <v>904</v>
      </c>
      <c r="F19" s="209" t="s">
        <v>905</v>
      </c>
      <c r="I19" s="42"/>
      <c r="J19" s="42"/>
    </row>
    <row r="20" spans="1:10" s="1" customFormat="1" ht="38.25" customHeight="1">
      <c r="A20" s="25" t="s">
        <v>817</v>
      </c>
      <c r="B20" s="24" t="str">
        <f>VLOOKUP($A20,Questions!$A$2:$X$333,2,0)</f>
        <v>Does your solution leverage machine learning (ML) or do you plan to do so in the next 12 months?</v>
      </c>
      <c r="C20" s="27"/>
      <c r="D20" s="333"/>
      <c r="E20" s="174" t="str">
        <f>IF($C$18="No",'Auto Responses'!$A$6,IF($C20="Yes",VLOOKUP($A20,Questions!$A$2:$X$333,17,0)&amp;"",IF($C20="No",VLOOKUP($A20,Questions!$A$2:$X$333,16,0)&amp;"",VLOOKUP($A20,Questions!$A$2:$X$333,15,0)&amp;"")))</f>
        <v>Based on the response to REQU-04 on the "START HERE" tab, this question does not apply to this product or service.</v>
      </c>
      <c r="F20" s="208" t="str">
        <f>VLOOKUP($A20,'Institution Evaluation'!$A$56:$F$346,6,0)&amp;""</f>
        <v/>
      </c>
      <c r="I20" s="42"/>
      <c r="J20" s="42"/>
    </row>
    <row r="21" spans="1:10" s="1" customFormat="1" ht="45.75" customHeight="1" thickBot="1">
      <c r="A21" s="25" t="s">
        <v>819</v>
      </c>
      <c r="B21" s="24" t="str">
        <f>VLOOKUP($A21,Questions!$A$2:$X$333,2,0)</f>
        <v>Does your solution leverage a large language model (LLM) or do you plan to do so in the next 12 months?</v>
      </c>
      <c r="C21" s="27"/>
      <c r="D21" s="333"/>
      <c r="E21" s="174" t="str">
        <f>IF($C$18="No",'Auto Responses'!$A$6,IF($C21="Yes",VLOOKUP($A21,Questions!$A$2:$X$333,17,0)&amp;"",IF($C21="No",VLOOKUP($A21,Questions!$A$2:$X$333,16,0)&amp;"",VLOOKUP($A21,Questions!$A$2:$X$333,15,0)&amp;"")))</f>
        <v>Based on the response to REQU-04 on the "START HERE" tab, this question does not apply to this product or service.</v>
      </c>
      <c r="F21" s="208" t="str">
        <f>VLOOKUP($A21,'Institution Evaluation'!$A$56:$F$346,6,0)&amp;""</f>
        <v/>
      </c>
      <c r="G21" s="255" t="s">
        <v>1531</v>
      </c>
      <c r="I21" s="42"/>
      <c r="J21" s="42"/>
    </row>
    <row r="22" spans="1:10" s="1" customFormat="1" ht="37.25" customHeight="1" thickBot="1">
      <c r="A22" s="70" t="str">
        <f>VLOOKUP(LEFT($A23,4),'Auto Responses'!$N$4:$O$38,2,0)&amp;""</f>
        <v xml:space="preserve"> General AI Questions</v>
      </c>
      <c r="B22" s="29"/>
      <c r="C22" s="19" t="s">
        <v>1583</v>
      </c>
      <c r="D22" s="19" t="s">
        <v>72</v>
      </c>
      <c r="E22" s="38" t="s">
        <v>904</v>
      </c>
      <c r="F22" s="209" t="s">
        <v>905</v>
      </c>
      <c r="I22" s="42"/>
      <c r="J22" s="42"/>
    </row>
    <row r="23" spans="1:10" s="1" customFormat="1" ht="48" customHeight="1">
      <c r="A23" s="25" t="s">
        <v>821</v>
      </c>
      <c r="B23" s="24" t="str">
        <f>VLOOKUP($A23,Questions!$A$2:$X$333,2,0)</f>
        <v>Does your solution have an AI risk model when developing or implementing your solution's AI model?*</v>
      </c>
      <c r="C23" s="27"/>
      <c r="D23" s="333"/>
      <c r="E23" s="174" t="str">
        <f>IF($C$18="No",'Auto Responses'!$A$6,IF($C23="Yes",VLOOKUP($A23,Questions!$A$2:$X$333,17,0)&amp;"",IF($C23="No",VLOOKUP($A23,Questions!$A$2:$X$333,16,0)&amp;"",VLOOKUP($A23,Questions!$A$2:$X$333,15,0)&amp;"")))</f>
        <v>Based on the response to REQU-04 on the "START HERE" tab, this question does not apply to this product or service.</v>
      </c>
      <c r="F23" s="208" t="str">
        <f>VLOOKUP($A23,'Institution Evaluation'!$A$56:$F$346,6,0)&amp;""</f>
        <v/>
      </c>
      <c r="I23" s="42"/>
      <c r="J23" s="42"/>
    </row>
    <row r="24" spans="1:10" s="1" customFormat="1" ht="38.25" customHeight="1">
      <c r="A24" s="25" t="s">
        <v>823</v>
      </c>
      <c r="B24" s="24" t="str">
        <f>VLOOKUP($A24,Questions!$A$2:$X$333,2,0)</f>
        <v>Can your solution's AI features be disabled by tenant and/or user?*</v>
      </c>
      <c r="C24" s="27"/>
      <c r="D24" s="333"/>
      <c r="E24" s="174" t="str">
        <f>IF($C$18="No",'Auto Responses'!$A$6,IF($C24="Yes",VLOOKUP($A24,Questions!$A$2:$X$333,17,0)&amp;"",IF($C24="No",VLOOKUP($A24,Questions!$A$2:$X$333,16,0)&amp;"",VLOOKUP($A24,Questions!$A$2:$X$333,15,0)&amp;"")))</f>
        <v>Based on the response to REQU-04 on the "START HERE" tab, this question does not apply to this product or service.</v>
      </c>
      <c r="F24" s="208" t="str">
        <f>VLOOKUP($A24,'Institution Evaluation'!$A$56:$F$346,6,0)&amp;""</f>
        <v/>
      </c>
      <c r="I24" s="42"/>
      <c r="J24" s="42"/>
    </row>
    <row r="25" spans="1:10" s="1" customFormat="1" ht="46.5" customHeight="1">
      <c r="A25" s="25" t="s">
        <v>825</v>
      </c>
      <c r="B25" s="24" t="str">
        <f>VLOOKUP($A25,Questions!$A$2:$X$333,2,0)</f>
        <v>Have your staff completed responsible AI training?*</v>
      </c>
      <c r="C25" s="27"/>
      <c r="D25" s="333"/>
      <c r="E25" s="174" t="str">
        <f>IF($C$18="No",'Auto Responses'!$A$6,IF($C25="Yes",VLOOKUP($A25,Questions!$A$2:$X$333,17,0)&amp;"",IF($C25="No",VLOOKUP($A25,Questions!$A$2:$X$333,16,0)&amp;"",VLOOKUP($A25,Questions!$A$2:$X$333,15,0)&amp;"")))</f>
        <v>Based on the response to REQU-04 on the "START HERE" tab, this question does not apply to this product or service.</v>
      </c>
      <c r="F25" s="208" t="str">
        <f>VLOOKUP($A25,'Institution Evaluation'!$A$56:$F$346,6,0)&amp;""</f>
        <v/>
      </c>
      <c r="I25" s="42"/>
      <c r="J25" s="42"/>
    </row>
    <row r="26" spans="1:10" s="1" customFormat="1" ht="69" customHeight="1">
      <c r="A26" s="25" t="s">
        <v>826</v>
      </c>
      <c r="B26" s="24" t="str">
        <f>VLOOKUP($A26,Questions!$A$2:$X$333,2,0)</f>
        <v>Please describe the capabilities of your solution's AI features.</v>
      </c>
      <c r="C26" s="84"/>
      <c r="D26" s="333"/>
      <c r="E26" s="174" t="str">
        <f>IF($C$18="No",'Auto Responses'!$A$6,IF($C26="Yes",VLOOKUP($A26,Questions!$A$2:$X$333,17,0)&amp;"",IF($C26="No",VLOOKUP($A26,Questions!$A$2:$X$333,16,0)&amp;"",VLOOKUP($A26,Questions!$A$2:$X$333,15,0)&amp;"")))</f>
        <v>Based on the response to REQU-04 on the "START HERE" tab, this question does not apply to this product or service.</v>
      </c>
      <c r="F26" s="208" t="str">
        <f>VLOOKUP($A26,'Institution Evaluation'!$A$56:$F$346,6,0)&amp;""</f>
        <v/>
      </c>
      <c r="I26" s="42"/>
      <c r="J26" s="42"/>
    </row>
    <row r="27" spans="1:10" s="1" customFormat="1" ht="74.25" customHeight="1" thickBot="1">
      <c r="A27" s="25" t="s">
        <v>828</v>
      </c>
      <c r="B27" s="24" t="str">
        <f>VLOOKUP($A27,Questions!$A$2:$X$333,2,0)</f>
        <v>Does your solution support business rules to protect sensitive data from being ingested by the AI model?</v>
      </c>
      <c r="C27" s="27"/>
      <c r="D27" s="333"/>
      <c r="E27" s="174" t="str">
        <f>IF($C$18="No",'Auto Responses'!$A$6,IF($C27="Yes",VLOOKUP($A27,Questions!$A$2:$X$333,17,0)&amp;"",IF($C27="No",VLOOKUP($A27,Questions!$A$2:$X$333,16,0)&amp;"",VLOOKUP($A27,Questions!$A$2:$X$333,15,0)&amp;"")))</f>
        <v>Based on the response to REQU-04 on the "START HERE" tab, this question does not apply to this product or service.</v>
      </c>
      <c r="F27" s="208" t="str">
        <f>VLOOKUP($A27,'Institution Evaluation'!$A$56:$F$346,6,0)&amp;""</f>
        <v/>
      </c>
      <c r="G27" s="255" t="s">
        <v>1531</v>
      </c>
      <c r="I27" s="42"/>
      <c r="J27" s="42"/>
    </row>
    <row r="28" spans="1:10" s="1" customFormat="1" ht="37.25" customHeight="1" thickBot="1">
      <c r="A28" s="70" t="str">
        <f>VLOOKUP(LEFT($A29,4),'Auto Responses'!$N$4:$O$38,2,0)&amp;""</f>
        <v xml:space="preserve"> AI Policy</v>
      </c>
      <c r="B28" s="29"/>
      <c r="C28" s="19" t="s">
        <v>1583</v>
      </c>
      <c r="D28" s="19" t="s">
        <v>72</v>
      </c>
      <c r="E28" s="38" t="s">
        <v>904</v>
      </c>
      <c r="F28" s="209" t="s">
        <v>905</v>
      </c>
      <c r="I28" s="42"/>
      <c r="J28" s="42"/>
    </row>
    <row r="29" spans="1:10" s="1" customFormat="1" ht="69" customHeight="1">
      <c r="A29" s="25" t="s">
        <v>830</v>
      </c>
      <c r="B29" s="24" t="str">
        <f>VLOOKUP($A29,Questions!$A$2:$X$333,2,0)</f>
        <v>Are your AI developer's policies, processes, procedures, and practices across the organization related to the mapping, measuring, and managing of AI risks conspicuously posted, unambiguous, and implemented effectively?*</v>
      </c>
      <c r="C29" s="27"/>
      <c r="D29" s="333"/>
      <c r="E29" s="174" t="str">
        <f>IF($C$18="No",'Auto Responses'!$A$6,IF($C29="Yes",VLOOKUP($A29,Questions!$A$2:$X$333,17,0)&amp;"",IF($C29="No",VLOOKUP($A29,Questions!$A$2:$X$333,16,0)&amp;"",VLOOKUP($A29,Questions!$A$2:$X$333,15,0)&amp;"")))</f>
        <v>Based on the response to REQU-04 on the "START HERE" tab, this question does not apply to this product or service.</v>
      </c>
      <c r="F29" s="208" t="str">
        <f>VLOOKUP($A29,'Institution Evaluation'!$A$56:$F$346,6,0)&amp;""</f>
        <v/>
      </c>
      <c r="I29" s="42"/>
      <c r="J29" s="42"/>
    </row>
    <row r="30" spans="1:10" s="1" customFormat="1" ht="61.5" customHeight="1">
      <c r="A30" s="25" t="s">
        <v>831</v>
      </c>
      <c r="B30" s="24" t="str">
        <f>VLOOKUP($A30,Questions!$A$2:$X$333,2,0)</f>
        <v>Have you identified and measured AI risks?*</v>
      </c>
      <c r="C30" s="27"/>
      <c r="D30" s="333"/>
      <c r="E30" s="174" t="str">
        <f>IF($C$18="No",'Auto Responses'!$A$6,IF($C30="Yes",VLOOKUP($A30,Questions!$A$2:$X$333,17,0)&amp;"",IF($C30="No",VLOOKUP($A30,Questions!$A$2:$X$333,16,0)&amp;"",VLOOKUP($A30,Questions!$A$2:$X$333,15,0)&amp;"")))</f>
        <v>Based on the response to REQU-04 on the "START HERE" tab, this question does not apply to this product or service.</v>
      </c>
      <c r="F30" s="208" t="str">
        <f>VLOOKUP($A30,'Institution Evaluation'!$A$56:$F$346,6,0)&amp;""</f>
        <v/>
      </c>
      <c r="I30" s="42"/>
      <c r="J30" s="42"/>
    </row>
    <row r="31" spans="1:10" s="1" customFormat="1" ht="111" customHeight="1">
      <c r="A31" s="25" t="s">
        <v>832</v>
      </c>
      <c r="B31" s="24" t="str">
        <f>VLOOKUP($A31,Questions!$A$2:$X$333,2,0)</f>
        <v>In the event of an incident, can your solution's AI features be disabled in a timely manner?*</v>
      </c>
      <c r="C31" s="27"/>
      <c r="D31" s="333"/>
      <c r="E31" s="174" t="str">
        <f>IF($C$18="No",'Auto Responses'!$A$6,IF($C31="Yes",VLOOKUP($A31,Questions!$A$2:$X$333,17,0)&amp;"",IF($C31="No",VLOOKUP($A31,Questions!$A$2:$X$333,16,0)&amp;"",VLOOKUP($A31,Questions!$A$2:$X$333,15,0)&amp;"")))</f>
        <v>Based on the response to REQU-04 on the "START HERE" tab, this question does not apply to this product or service.</v>
      </c>
      <c r="F31" s="208" t="str">
        <f>VLOOKUP($A31,'Institution Evaluation'!$A$56:$F$346,6,0)&amp;""</f>
        <v/>
      </c>
      <c r="I31" s="42"/>
      <c r="J31" s="42"/>
    </row>
    <row r="32" spans="1:10" s="1" customFormat="1" ht="99.75" customHeight="1">
      <c r="A32" s="25" t="s">
        <v>833</v>
      </c>
      <c r="B32" s="24" t="str">
        <f>VLOOKUP($A32,Questions!$A$2:$X$333,2,0)</f>
        <v>If disabled because of an incident, can your solution's AI features be re-enabled in a timely manner?*</v>
      </c>
      <c r="C32" s="27"/>
      <c r="D32" s="333"/>
      <c r="E32" s="174" t="str">
        <f>IF($C$18="No",'Auto Responses'!$A$6,IF($C$31="No",'Auto Responses'!$A$27,IF($C32="Yes",VLOOKUP($A32,Questions!$A$2:$X$333,17,0)&amp;"",IF($C32="No",VLOOKUP($A32,Questions!$A$2:$X$333,16,0)&amp;"",IF($C32="N/A",VLOOKUP($A32,Questions!$A$2:$X$333,18,0)&amp;"",VLOOKUP($A32,Questions!$A$2:$X$333,15,0)&amp;"")))))</f>
        <v>Based on the response to REQU-04 on the "START HERE" tab, this question does not apply to this product or service.</v>
      </c>
      <c r="F32" s="208" t="str">
        <f>VLOOKUP($A32,'Institution Evaluation'!$A$56:$F$346,6,0)&amp;""</f>
        <v/>
      </c>
      <c r="I32" s="42"/>
      <c r="J32" s="42"/>
    </row>
    <row r="33" spans="1:10" s="1" customFormat="1" ht="105" customHeight="1" thickBot="1">
      <c r="A33" s="25" t="s">
        <v>834</v>
      </c>
      <c r="B33" s="24" t="str">
        <f>VLOOKUP($A33,Questions!$A$2:$X$333,2,0)</f>
        <v>Do you have documented technical and procedural processes to address potential negative impacts of AI as described by the AI Risk Management Framework (RMF)?</v>
      </c>
      <c r="C33" s="27"/>
      <c r="D33" s="333"/>
      <c r="E33" s="174" t="str">
        <f>IF($C$18="No",'Auto Responses'!$A$6,IF($C33="Yes",VLOOKUP($A33,Questions!$A$2:$X$333,17,0)&amp;"",IF($C33="No",VLOOKUP($A33,Questions!$A$2:$X$333,16,0)&amp;"",VLOOKUP($A33,Questions!$A$2:$X$333,15,0)&amp;"")))</f>
        <v>Based on the response to REQU-04 on the "START HERE" tab, this question does not apply to this product or service.</v>
      </c>
      <c r="F33" s="208" t="str">
        <f>VLOOKUP($A33,'Institution Evaluation'!$A$56:$F$346,6,0)&amp;""</f>
        <v/>
      </c>
      <c r="G33" s="255" t="s">
        <v>1531</v>
      </c>
      <c r="I33" s="42"/>
      <c r="J33" s="42"/>
    </row>
    <row r="34" spans="1:10" s="1" customFormat="1" ht="37.25" customHeight="1" thickBot="1">
      <c r="A34" s="70" t="str">
        <f>VLOOKUP(LEFT($A35,4),'Auto Responses'!$N$4:$O$38,2,0)&amp;""</f>
        <v xml:space="preserve"> AI Data Security</v>
      </c>
      <c r="B34" s="29"/>
      <c r="C34" s="19" t="s">
        <v>1583</v>
      </c>
      <c r="D34" s="19" t="s">
        <v>72</v>
      </c>
      <c r="E34" s="38" t="s">
        <v>904</v>
      </c>
      <c r="F34" s="209" t="s">
        <v>905</v>
      </c>
      <c r="I34" s="42"/>
      <c r="J34" s="42"/>
    </row>
    <row r="35" spans="1:10" s="1" customFormat="1" ht="53.25" customHeight="1">
      <c r="A35" s="25" t="s">
        <v>835</v>
      </c>
      <c r="B35" s="24" t="str">
        <f>VLOOKUP($A35,Questions!$A$2:$X$333,2,0)</f>
        <v>If sensitive data is introduced to your solution's AI model, can the data be removed from the AI model by request?*</v>
      </c>
      <c r="C35" s="27"/>
      <c r="D35" s="333"/>
      <c r="E35" s="174" t="str">
        <f>IF($C$18="No",'Auto Responses'!$A$6,IF($C35="Yes",VLOOKUP($A35,Questions!$A$2:$X$333,17,0)&amp;"",IF($C35="No",VLOOKUP($A35,Questions!$A$2:$X$333,16,0)&amp;"",VLOOKUP($A35,Questions!$A$2:$X$333,15,0)&amp;"")))</f>
        <v>Based on the response to REQU-04 on the "START HERE" tab, this question does not apply to this product or service.</v>
      </c>
      <c r="F35" s="208" t="str">
        <f>VLOOKUP($A35,'Institution Evaluation'!$A$56:$F$346,6,0)&amp;""</f>
        <v/>
      </c>
      <c r="I35" s="42"/>
      <c r="J35" s="42"/>
    </row>
    <row r="36" spans="1:10" s="1" customFormat="1" ht="54" customHeight="1">
      <c r="A36" s="25" t="s">
        <v>836</v>
      </c>
      <c r="B36" s="24" t="str">
        <f>VLOOKUP($A36,Questions!$A$2:$X$333,2,0)</f>
        <v>Is user input data used to influence your solution's AI model?*</v>
      </c>
      <c r="C36" s="27"/>
      <c r="D36" s="333"/>
      <c r="E36" s="174" t="str">
        <f>IF($C$18="No",'Auto Responses'!$A$6,IF($C36="Yes",VLOOKUP($A36,Questions!$A$2:$X$333,17,0)&amp;"",IF($C36="No",VLOOKUP($A36,Questions!$A$2:$X$333,16,0)&amp;"",VLOOKUP($A36,Questions!$A$2:$X$333,15,0)&amp;"")))</f>
        <v>Based on the response to REQU-04 on the "START HERE" tab, this question does not apply to this product or service.</v>
      </c>
      <c r="F36" s="208" t="str">
        <f>VLOOKUP($A36,'Institution Evaluation'!$A$56:$F$346,6,0)&amp;""</f>
        <v/>
      </c>
      <c r="I36" s="42"/>
      <c r="J36" s="42"/>
    </row>
    <row r="37" spans="1:10" s="1" customFormat="1" ht="60" customHeight="1">
      <c r="A37" s="25" t="s">
        <v>837</v>
      </c>
      <c r="B37" s="24" t="str">
        <f>VLOOKUP($A37,Questions!$A$2:$X$333,2,0)</f>
        <v>Do you provide logging for your solution's AI feature(s) that includes user, date, and action taken?*</v>
      </c>
      <c r="C37" s="27"/>
      <c r="D37" s="333"/>
      <c r="E37" s="174" t="str">
        <f>IF($C$18="No",'Auto Responses'!$A$6,IF($C37="Yes",VLOOKUP($A37,Questions!$A$2:$X$333,17,0)&amp;"",IF($C37="No",VLOOKUP($A37,Questions!$A$2:$X$333,16,0)&amp;"",VLOOKUP($A37,Questions!$A$2:$X$333,15,0)&amp;"")))</f>
        <v>Based on the response to REQU-04 on the "START HERE" tab, this question does not apply to this product or service.</v>
      </c>
      <c r="F37" s="208" t="str">
        <f>VLOOKUP($A37,'Institution Evaluation'!$A$56:$F$346,6,0)&amp;""</f>
        <v/>
      </c>
      <c r="I37" s="42"/>
      <c r="J37" s="42"/>
    </row>
    <row r="38" spans="1:10" s="1" customFormat="1" ht="60" customHeight="1">
      <c r="A38" s="25" t="s">
        <v>839</v>
      </c>
      <c r="B38" s="24" t="str">
        <f>VLOOKUP($A38,Questions!$A$2:$X$333,2,0)</f>
        <v>Please describe how you validate user inputs.</v>
      </c>
      <c r="C38" s="84"/>
      <c r="D38" s="333"/>
      <c r="E38" s="174" t="str">
        <f>IF($C$18="No",'Auto Responses'!$A$6,IF($C38="Yes",VLOOKUP($A38,Questions!$A$2:$X$333,17,0)&amp;"",IF($C38="No",VLOOKUP($A38,Questions!$A$2:$X$333,16,0)&amp;"",VLOOKUP($A38,Questions!$A$2:$X$333,15,0)&amp;"")))</f>
        <v>Based on the response to REQU-04 on the "START HERE" tab, this question does not apply to this product or service.</v>
      </c>
      <c r="F38" s="208" t="str">
        <f>VLOOKUP($A38,'Institution Evaluation'!$A$56:$F$346,6,0)&amp;""</f>
        <v/>
      </c>
      <c r="I38" s="42"/>
      <c r="J38" s="42"/>
    </row>
    <row r="39" spans="1:10" s="1" customFormat="1" ht="49.5" customHeight="1" thickBot="1">
      <c r="A39" s="25" t="s">
        <v>840</v>
      </c>
      <c r="B39" s="24" t="str">
        <f>VLOOKUP($A39,Questions!$A$2:$X$333,2,0)</f>
        <v>Do you plan for and mitigate supply-chain risk related to your AI features?</v>
      </c>
      <c r="C39" s="27"/>
      <c r="D39" s="333"/>
      <c r="E39" s="174" t="str">
        <f>IF($C$18="No",'Auto Responses'!$A$6,IF($C39="Yes",VLOOKUP($A39,Questions!$A$2:$X$333,17,0)&amp;"",IF($C39="No",VLOOKUP($A39,Questions!$A$2:$X$333,16,0)&amp;"",VLOOKUP($A39,Questions!$A$2:$X$333,15,0)&amp;"")))</f>
        <v>Based on the response to REQU-04 on the "START HERE" tab, this question does not apply to this product or service.</v>
      </c>
      <c r="F39" s="208" t="str">
        <f>VLOOKUP($A39,'Institution Evaluation'!$A$56:$F$346,6,0)&amp;""</f>
        <v/>
      </c>
      <c r="G39" s="255" t="s">
        <v>1531</v>
      </c>
      <c r="I39" s="42"/>
      <c r="J39" s="42"/>
    </row>
    <row r="40" spans="1:10" s="1" customFormat="1" ht="37.25" customHeight="1" thickBot="1">
      <c r="A40" s="70" t="str">
        <f>VLOOKUP(LEFT($A41,4),'Auto Responses'!$N$4:$O$38,2,0)&amp;""</f>
        <v xml:space="preserve"> AI Machine Learning</v>
      </c>
      <c r="B40" s="29"/>
      <c r="C40" s="19" t="s">
        <v>1583</v>
      </c>
      <c r="D40" s="19" t="s">
        <v>72</v>
      </c>
      <c r="E40" s="38" t="s">
        <v>904</v>
      </c>
      <c r="F40" s="209" t="s">
        <v>905</v>
      </c>
      <c r="I40" s="42"/>
      <c r="J40" s="42"/>
    </row>
    <row r="41" spans="1:10" s="1" customFormat="1" ht="97.5" customHeight="1">
      <c r="A41" s="25" t="s">
        <v>842</v>
      </c>
      <c r="B41" s="24" t="str">
        <f>VLOOKUP($A41,Questions!$A$2:$X$333,2,0)</f>
        <v>Do you separate ML training data from your ML solution data?*</v>
      </c>
      <c r="C41" s="27"/>
      <c r="D41" s="333"/>
      <c r="E41" s="174" t="str">
        <f>IF($C$18="No",'Auto Responses'!$A$6,IF($C$20="No",'Auto Responses'!$A$10,IF($C41="Yes",VLOOKUP($A41,Questions!$A$2:$X$333,17,0)&amp;"",IF($C41="No",VLOOKUP($A41,Questions!$A$2:$X$333,16,0)&amp;"",VLOOKUP($A41,Questions!$A$2:$X$333,15,0)&amp;""))))</f>
        <v>Based on the response to REQU-04 on the "START HERE" tab, this question does not apply to this product or service.</v>
      </c>
      <c r="F41" s="208" t="str">
        <f>VLOOKUP($A41,'Institution Evaluation'!$A$56:$F$346,6,0)&amp;""</f>
        <v/>
      </c>
      <c r="I41" s="42"/>
      <c r="J41" s="42"/>
    </row>
    <row r="42" spans="1:10" s="1" customFormat="1" ht="74.25" customHeight="1">
      <c r="A42" s="25" t="s">
        <v>844</v>
      </c>
      <c r="B42" s="24" t="str">
        <f>VLOOKUP($A42,Questions!$A$2:$X$333,2,0)</f>
        <v>Do you authenticate and verify your ML model's feedback?*</v>
      </c>
      <c r="C42" s="27"/>
      <c r="D42" s="333"/>
      <c r="E42" s="174" t="str">
        <f>IF($C$18="No",'Auto Responses'!$A$6,IF($C$20="No",'Auto Responses'!$A$10,IF($C42="Yes",VLOOKUP($A42,Questions!$A$2:$X$333,17,0)&amp;"",IF($C42="No",VLOOKUP($A42,Questions!$A$2:$X$333,16,0)&amp;"",VLOOKUP($A42,Questions!$A$2:$X$333,15,0)&amp;""))))</f>
        <v>Based on the response to REQU-04 on the "START HERE" tab, this question does not apply to this product or service.</v>
      </c>
      <c r="F42" s="208" t="str">
        <f>VLOOKUP($A42,'Institution Evaluation'!$A$56:$F$346,6,0)&amp;""</f>
        <v/>
      </c>
      <c r="I42" s="42"/>
      <c r="J42" s="42"/>
    </row>
    <row r="43" spans="1:10" s="1" customFormat="1" ht="110.25" customHeight="1">
      <c r="A43" s="25" t="s">
        <v>846</v>
      </c>
      <c r="B43" s="24" t="str">
        <f>VLOOKUP($A43,Questions!$A$2:$X$333,2,0)</f>
        <v>Is your ML training data vetted, validated, and verified before training the solution's AI model?</v>
      </c>
      <c r="C43" s="27"/>
      <c r="D43" s="333"/>
      <c r="E43" s="174" t="str">
        <f>IF($C$18="No",'Auto Responses'!$A$6,IF($C$20="No",'Auto Responses'!$A$10,IF($C43="Yes",VLOOKUP($A43,Questions!$A$2:$X$333,17,0)&amp;"",IF($C43="No",VLOOKUP($A43,Questions!$A$2:$X$333,16,0)&amp;"",VLOOKUP($A43,Questions!$A$2:$X$333,15,0)&amp;""))))</f>
        <v>Based on the response to REQU-04 on the "START HERE" tab, this question does not apply to this product or service.</v>
      </c>
      <c r="F43" s="208" t="str">
        <f>VLOOKUP($A43,'Institution Evaluation'!$A$56:$F$346,6,0)&amp;""</f>
        <v/>
      </c>
      <c r="I43" s="42"/>
      <c r="J43" s="42"/>
    </row>
    <row r="44" spans="1:10" s="1" customFormat="1" ht="38.25" customHeight="1">
      <c r="A44" s="25" t="s">
        <v>849</v>
      </c>
      <c r="B44" s="24" t="str">
        <f>VLOOKUP($A44,Questions!$A$2:$X$333,2,0)</f>
        <v>Is your ML training data monitored and audited?</v>
      </c>
      <c r="C44" s="27"/>
      <c r="D44" s="333"/>
      <c r="E44" s="174" t="str">
        <f>IF($C$18="No",'Auto Responses'!$A$6,IF($C$20="No",'Auto Responses'!$A$10,IF($C44="Yes",VLOOKUP($A44,Questions!$A$2:$X$333,17,0)&amp;"",IF($C44="No",VLOOKUP($A44,Questions!$A$2:$X$333,16,0)&amp;"",VLOOKUP($A44,Questions!$A$2:$X$333,15,0)&amp;""))))</f>
        <v>Based on the response to REQU-04 on the "START HERE" tab, this question does not apply to this product or service.</v>
      </c>
      <c r="F44" s="208" t="str">
        <f>VLOOKUP($A44,'Institution Evaluation'!$A$56:$F$346,6,0)&amp;""</f>
        <v/>
      </c>
      <c r="I44" s="42"/>
      <c r="J44" s="42"/>
    </row>
    <row r="45" spans="1:10" s="1" customFormat="1" ht="63" customHeight="1">
      <c r="A45" s="25" t="s">
        <v>852</v>
      </c>
      <c r="B45" s="24" t="str">
        <f>VLOOKUP($A45,Questions!$A$2:$X$333,2,0)</f>
        <v>Have you limited access to your ML training data to only staff with an explicit business need?</v>
      </c>
      <c r="C45" s="27"/>
      <c r="D45" s="333"/>
      <c r="E45" s="174" t="str">
        <f>IF($C$18="No",'Auto Responses'!$A$6,IF($C$20="No",'Auto Responses'!$A$10,IF($C45="Yes",VLOOKUP($A45,Questions!$A$2:$X$333,17,0)&amp;"",IF($C45="No",VLOOKUP($A45,Questions!$A$2:$X$333,16,0)&amp;"",VLOOKUP($A45,Questions!$A$2:$X$333,15,0)&amp;""))))</f>
        <v>Based on the response to REQU-04 on the "START HERE" tab, this question does not apply to this product or service.</v>
      </c>
      <c r="F45" s="208" t="str">
        <f>VLOOKUP($A45,'Institution Evaluation'!$A$56:$F$346,6,0)&amp;""</f>
        <v/>
      </c>
      <c r="I45" s="42"/>
      <c r="J45" s="42"/>
    </row>
    <row r="46" spans="1:10" s="1" customFormat="1" ht="101.25" customHeight="1">
      <c r="A46" s="25" t="s">
        <v>854</v>
      </c>
      <c r="B46" s="24" t="str">
        <f>VLOOKUP($A46,Questions!$A$2:$X$333,2,0)</f>
        <v>Have you implemented adversarial training or other model defense mechanisms to protect your ML-related features?</v>
      </c>
      <c r="C46" s="27"/>
      <c r="D46" s="333"/>
      <c r="E46" s="174" t="str">
        <f>IF($C$18="No",'Auto Responses'!$A$6,IF($C$20="No",'Auto Responses'!$A$10,IF($C46="Yes",VLOOKUP($A46,Questions!$A$2:$X$333,17,0)&amp;"",IF($C46="No",VLOOKUP($A46,Questions!$A$2:$X$333,16,0)&amp;"",VLOOKUP($A46,Questions!$A$2:$X$333,15,0)&amp;""))))</f>
        <v>Based on the response to REQU-04 on the "START HERE" tab, this question does not apply to this product or service.</v>
      </c>
      <c r="F46" s="208" t="str">
        <f>VLOOKUP($A46,'Institution Evaluation'!$A$56:$F$346,6,0)&amp;""</f>
        <v/>
      </c>
      <c r="I46" s="42"/>
      <c r="J46" s="42"/>
    </row>
    <row r="47" spans="1:10" s="1" customFormat="1" ht="102.75" customHeight="1">
      <c r="A47" s="25" t="s">
        <v>856</v>
      </c>
      <c r="B47" s="24" t="str">
        <f>VLOOKUP($A47,Questions!$A$2:$X$333,2,0)</f>
        <v>Do you make your ML model transparent through documentation and log inputs and outputs?</v>
      </c>
      <c r="C47" s="27"/>
      <c r="D47" s="333"/>
      <c r="E47" s="174" t="str">
        <f>IF($C$18="No",'Auto Responses'!$A$6,IF($C$20="No",'Auto Responses'!$A$10,IF($C47="Yes",VLOOKUP($A47,Questions!$A$2:$X$333,17,0)&amp;"",IF($C47="No",VLOOKUP($A47,Questions!$A$2:$X$333,16,0)&amp;"",VLOOKUP($A47,Questions!$A$2:$X$333,15,0)&amp;""))))</f>
        <v>Based on the response to REQU-04 on the "START HERE" tab, this question does not apply to this product or service.</v>
      </c>
      <c r="F47" s="208" t="str">
        <f>VLOOKUP($A47,'Institution Evaluation'!$A$56:$F$346,6,0)&amp;""</f>
        <v/>
      </c>
      <c r="I47" s="42"/>
      <c r="J47" s="42"/>
    </row>
    <row r="48" spans="1:10" s="1" customFormat="1" ht="67.5" customHeight="1" thickBot="1">
      <c r="A48" s="25" t="s">
        <v>859</v>
      </c>
      <c r="B48" s="24" t="str">
        <f>VLOOKUP($A48,Questions!$A$2:$X$333,2,0)</f>
        <v>Do you watermark your ML training data?</v>
      </c>
      <c r="C48" s="27"/>
      <c r="D48" s="333"/>
      <c r="E48" s="174" t="str">
        <f>IF($C$18="No",'Auto Responses'!$A$6,IF($C$20="No",'Auto Responses'!$A$10,IF($C48="Yes",VLOOKUP($A48,Questions!$A$2:$X$333,17,0)&amp;"",IF($C48="No",VLOOKUP($A48,Questions!$A$2:$X$333,16,0)&amp;"",VLOOKUP($A48,Questions!$A$2:$X$333,15,0)&amp;""))))</f>
        <v>Based on the response to REQU-04 on the "START HERE" tab, this question does not apply to this product or service.</v>
      </c>
      <c r="F48" s="208" t="str">
        <f>VLOOKUP($A48,'Institution Evaluation'!$A$56:$F$346,6,0)&amp;""</f>
        <v/>
      </c>
      <c r="G48" s="255" t="s">
        <v>1531</v>
      </c>
      <c r="I48" s="42"/>
      <c r="J48" s="42"/>
    </row>
    <row r="49" spans="1:12" s="1" customFormat="1" ht="37.25" customHeight="1" thickBot="1">
      <c r="A49" s="70" t="str">
        <f>VLOOKUP(LEFT($A50,4),'Auto Responses'!$N$4:$O$38,2,0)&amp;""</f>
        <v xml:space="preserve"> AI Large Language Model (LLM)</v>
      </c>
      <c r="B49" s="29"/>
      <c r="C49" s="19" t="s">
        <v>1583</v>
      </c>
      <c r="D49" s="19" t="s">
        <v>72</v>
      </c>
      <c r="E49" s="38" t="s">
        <v>904</v>
      </c>
      <c r="F49" s="209" t="s">
        <v>905</v>
      </c>
      <c r="I49" s="42"/>
      <c r="J49" s="42"/>
    </row>
    <row r="50" spans="1:12" s="1" customFormat="1" ht="60" customHeight="1">
      <c r="A50" s="25" t="s">
        <v>861</v>
      </c>
      <c r="B50" s="24" t="str">
        <f>VLOOKUP($A50,Questions!$A$2:$X$333,2,0)</f>
        <v>Do you limit your solution's LLM privileges by default?*</v>
      </c>
      <c r="C50" s="27"/>
      <c r="D50" s="333"/>
      <c r="E50" s="174" t="str">
        <f>IF($C$18="No",'Auto Responses'!$A$6,IF($C$21="No",'Auto Responses'!$A$11,IF($C50="Yes",VLOOKUP($A50,Questions!$A$2:$X$333,17,0)&amp;"",IF($C50="No",VLOOKUP($A50,Questions!$A$2:$X$333,16,0)&amp;"",VLOOKUP($A50,Questions!$A$2:$X$333,15,0)&amp;""))))</f>
        <v>Based on the response to REQU-04 on the "START HERE" tab, this question does not apply to this product or service.</v>
      </c>
      <c r="F50" s="208" t="str">
        <f>VLOOKUP($A50,'Institution Evaluation'!$A$56:$F$346,6,0)&amp;""</f>
        <v/>
      </c>
      <c r="I50" s="42"/>
      <c r="J50" s="42"/>
    </row>
    <row r="51" spans="1:12" s="1" customFormat="1" ht="102.75" customHeight="1">
      <c r="A51" s="25" t="s">
        <v>862</v>
      </c>
      <c r="B51" s="24" t="str">
        <f>VLOOKUP($A51,Questions!$A$2:$X$333,2,0)</f>
        <v>Is your LLM training data vetted, validated, and verified before training the solution's AI model?*</v>
      </c>
      <c r="C51" s="27"/>
      <c r="D51" s="333"/>
      <c r="E51" s="174" t="str">
        <f>IF($C$18="No",'Auto Responses'!$A$6,IF($C$21="No",'Auto Responses'!$A$11,IF($C51="Yes",VLOOKUP($A51,Questions!$A$2:$X$333,17,0)&amp;"",IF($C51="No",VLOOKUP($A51,Questions!$A$2:$X$333,16,0)&amp;"",VLOOKUP($A51,Questions!$A$2:$X$333,15,0)&amp;""))))</f>
        <v>Based on the response to REQU-04 on the "START HERE" tab, this question does not apply to this product or service.</v>
      </c>
      <c r="F51" s="208" t="str">
        <f>VLOOKUP($A51,'Institution Evaluation'!$A$56:$F$346,6,0)&amp;""</f>
        <v/>
      </c>
      <c r="I51" s="42"/>
      <c r="J51" s="42"/>
    </row>
    <row r="52" spans="1:12" s="1" customFormat="1" ht="75.75" customHeight="1">
      <c r="A52" s="25" t="s">
        <v>864</v>
      </c>
      <c r="B52" s="24" t="str">
        <f>VLOOKUP($A52,Questions!$A$2:$X$333,2,0)</f>
        <v>Do any actions taken by your solution's LLM features or plugins require human intervention?*</v>
      </c>
      <c r="C52" s="27"/>
      <c r="D52" s="333"/>
      <c r="E52" s="174" t="str">
        <f>IF($C$18="No",'Auto Responses'!$A$6,IF($C$21="No",'Auto Responses'!$A$11,IF($C52="Yes",VLOOKUP($A52,Questions!$A$2:$X$333,17,0)&amp;"",IF($C52="No",VLOOKUP($A52,Questions!$A$2:$X$333,16,0)&amp;"",VLOOKUP($A52,Questions!$A$2:$X$333,15,0)&amp;""))))</f>
        <v>Based on the response to REQU-04 on the "START HERE" tab, this question does not apply to this product or service.</v>
      </c>
      <c r="F52" s="208" t="str">
        <f>VLOOKUP($A52,'Institution Evaluation'!$A$56:$F$346,6,0)&amp;""</f>
        <v/>
      </c>
      <c r="I52" s="42"/>
      <c r="J52" s="42"/>
    </row>
    <row r="53" spans="1:12" s="1" customFormat="1" ht="67.5" customHeight="1">
      <c r="A53" s="25" t="s">
        <v>866</v>
      </c>
      <c r="B53" s="24" t="str">
        <f>VLOOKUP($A53,Questions!$A$2:$X$333,2,0)</f>
        <v>Do you limit multiple LLM model plugins being called as part of a single input?*</v>
      </c>
      <c r="C53" s="27"/>
      <c r="D53" s="333"/>
      <c r="E53" s="174" t="str">
        <f>IF($C$18="No",'Auto Responses'!$A$6,IF($C$21="No",'Auto Responses'!$A$11,IF($C53="Yes",VLOOKUP($A53,Questions!$A$2:$X$333,17,0)&amp;"",IF($C53="No",VLOOKUP($A53,Questions!$A$2:$X$333,16,0)&amp;"",VLOOKUP($A53,Questions!$A$2:$X$333,15,0)&amp;""))))</f>
        <v>Based on the response to REQU-04 on the "START HERE" tab, this question does not apply to this product or service.</v>
      </c>
      <c r="F53" s="208" t="str">
        <f>VLOOKUP($A53,'Institution Evaluation'!$A$56:$F$346,6,0)&amp;""</f>
        <v/>
      </c>
      <c r="I53" s="42"/>
      <c r="J53" s="42"/>
    </row>
    <row r="54" spans="1:12" s="1" customFormat="1" ht="49.5" customHeight="1">
      <c r="A54" s="25" t="s">
        <v>868</v>
      </c>
      <c r="B54" s="24" t="str">
        <f>VLOOKUP($A54,Questions!$A$2:$X$333,2,0)</f>
        <v>Do you limit your solution's LLM resource use per request, per step, and per action?</v>
      </c>
      <c r="C54" s="27"/>
      <c r="D54" s="333"/>
      <c r="E54" s="174" t="str">
        <f>IF($C$18="No",'Auto Responses'!$A$6,IF($C$21="No",'Auto Responses'!$A$11,IF($C54="Yes",VLOOKUP($A54,Questions!$A$2:$X$333,17,0)&amp;"",IF($C54="No",VLOOKUP($A54,Questions!$A$2:$X$333,16,0)&amp;"",VLOOKUP($A54,Questions!$A$2:$X$333,15,0)&amp;""))))</f>
        <v>Based on the response to REQU-04 on the "START HERE" tab, this question does not apply to this product or service.</v>
      </c>
      <c r="F54" s="208" t="str">
        <f>VLOOKUP($A54,'Institution Evaluation'!$A$56:$F$346,6,0)&amp;""</f>
        <v/>
      </c>
      <c r="I54" s="42"/>
      <c r="J54" s="42"/>
    </row>
    <row r="55" spans="1:12" s="1" customFormat="1" ht="55.5" customHeight="1">
      <c r="A55" s="25" t="s">
        <v>870</v>
      </c>
      <c r="B55" s="24" t="str">
        <f>VLOOKUP($A55,Questions!$A$2:$X$333,2,0)</f>
        <v>Do you leverage LLM model tuning or other model validation mechanisms?</v>
      </c>
      <c r="C55" s="27"/>
      <c r="D55" s="333"/>
      <c r="E55" s="174" t="str">
        <f>IF($C$18="No",'Auto Responses'!$A$6,IF($C$21="No",'Auto Responses'!$A$11,IF($C55="Yes",VLOOKUP($A55,Questions!$A$2:$X$333,17,0)&amp;"",IF($C55="No",VLOOKUP($A55,Questions!$A$2:$X$333,16,0)&amp;"",VLOOKUP($A55,Questions!$A$2:$X$333,15,0)&amp;""))))</f>
        <v>Based on the response to REQU-04 on the "START HERE" tab, this question does not apply to this product or service.</v>
      </c>
      <c r="F55" s="208" t="str">
        <f>VLOOKUP($A55,'Institution Evaluation'!$A$56:$F$346,6,0)&amp;""</f>
        <v/>
      </c>
      <c r="G55" s="255" t="s">
        <v>1531</v>
      </c>
      <c r="I55" s="42"/>
      <c r="J55" s="42"/>
    </row>
    <row r="56" spans="1:12" s="1" customFormat="1" ht="33" customHeight="1">
      <c r="A56" s="285" t="s">
        <v>1593</v>
      </c>
      <c r="C56" s="14"/>
      <c r="D56" s="15"/>
      <c r="E56" s="256" t="s">
        <v>1532</v>
      </c>
      <c r="F56" s="206"/>
      <c r="G56" s="206"/>
      <c r="I56" s="42"/>
      <c r="J56" s="42"/>
    </row>
    <row r="57" spans="1:12" s="1" customFormat="1" ht="15" hidden="1" customHeight="1">
      <c r="A57"/>
      <c r="C57" s="14"/>
      <c r="D57" s="15"/>
      <c r="E57" s="16"/>
      <c r="F57" s="206"/>
      <c r="G57" s="206"/>
      <c r="I57" s="42"/>
      <c r="J57" s="42"/>
    </row>
    <row r="58" spans="1:12" ht="15" hidden="1" customHeight="1">
      <c r="A58" s="1"/>
      <c r="B58" s="14"/>
      <c r="C58" s="78"/>
      <c r="D58" s="16"/>
      <c r="E58" s="1"/>
      <c r="F58" s="206"/>
      <c r="G58" s="206"/>
      <c r="H58" s="42"/>
      <c r="I58" s="1"/>
      <c r="J58" s="1"/>
      <c r="L58"/>
    </row>
    <row r="59" spans="1:12" ht="0" hidden="1" customHeight="1">
      <c r="A59" s="25" t="e">
        <f>#REF!</f>
        <v>#REF!</v>
      </c>
    </row>
    <row r="60" spans="1:12" ht="0" hidden="1" customHeight="1">
      <c r="A60" s="25" t="e">
        <f>#REF!</f>
        <v>#REF!</v>
      </c>
    </row>
    <row r="61" spans="1:12" ht="0" hidden="1" customHeight="1">
      <c r="A61" s="25" t="e">
        <f>#REF!</f>
        <v>#REF!</v>
      </c>
    </row>
    <row r="62" spans="1:12" ht="0" hidden="1" customHeight="1">
      <c r="A62" s="25" t="e">
        <f>#REF!</f>
        <v>#REF!</v>
      </c>
    </row>
    <row r="63" spans="1:12" ht="0" hidden="1" customHeight="1">
      <c r="A63" s="25" t="e">
        <f>#REF!</f>
        <v>#REF!</v>
      </c>
    </row>
    <row r="64" spans="1:12" ht="0" hidden="1" customHeight="1">
      <c r="A64" s="25" t="e">
        <f>#REF!</f>
        <v>#REF!</v>
      </c>
    </row>
    <row r="65" spans="1:1" ht="0" hidden="1" customHeight="1">
      <c r="A65" s="25" t="e">
        <f>#REF!</f>
        <v>#REF!</v>
      </c>
    </row>
    <row r="1048576" ht="3" customHeight="1"/>
  </sheetData>
  <dataValidations count="3">
    <dataValidation allowBlank="1" showInputMessage="1" showErrorMessage="1" promptTitle="Warning!" prompt="The HECVAT is built using a number of complex formulas. Editing this cell can break the functionality of the tool. " sqref="C2 A3:A56 C17:D17 C19:D19 C22:D22 C28:D28 C34:D34 C40:D40 C49:D49 C5:F12 D2:F3 B2:B56 E17:F55"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1CB86E03-4CBF-4685-88CA-5B7D041CA65F}"/>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3640CB-DA36-4094-8E52-220F93F2F0F1}">
          <x14:formula1>
            <xm:f>'Auto Responses'!$J$3:$J$4</xm:f>
          </x14:formula1>
          <xm:sqref>C20:C21 C50:C55 C41:C48 C39 C35:C37 C23:C25 C27 C29:C31 C33</xm:sqref>
        </x14:dataValidation>
        <x14:dataValidation type="list" allowBlank="1" showInputMessage="1" showErrorMessage="1" xr:uid="{4A23C9A0-1FE5-4D10-AF05-66D34E31FEC6}">
          <x14:formula1>
            <xm:f>'Auto Responses'!$J$3:$J$5</xm:f>
          </x14:formula1>
          <xm:sqref>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64" zoomScale="80" zoomScaleNormal="80" workbookViewId="0">
      <selection activeCell="E70" sqref="E70"/>
    </sheetView>
  </sheetViews>
  <sheetFormatPr baseColWidth="10" defaultColWidth="0" defaultRowHeight="0" customHeight="1" zeroHeight="1"/>
  <cols>
    <col min="1" max="1" width="8.25" customWidth="1"/>
    <col min="2" max="2" width="55.125" style="1" customWidth="1"/>
    <col min="3" max="3" width="18.875" style="14" customWidth="1"/>
    <col min="4" max="4" width="55.75" style="15" customWidth="1"/>
    <col min="5" max="5" width="32" style="47" customWidth="1"/>
    <col min="6" max="6" width="30.75" style="203" customWidth="1"/>
    <col min="7" max="7" width="18.125" style="1" customWidth="1"/>
    <col min="8" max="8" width="18.125" style="42" hidden="1" customWidth="1"/>
    <col min="9" max="10" width="18.125" style="1" hidden="1" customWidth="1"/>
    <col min="11" max="11" width="6.625" style="1" hidden="1" customWidth="1"/>
    <col min="12" max="16384" width="6.625" hidden="1"/>
  </cols>
  <sheetData>
    <row r="1" spans="1:9" ht="0" hidden="1" customHeight="1">
      <c r="A1" t="s">
        <v>1530</v>
      </c>
    </row>
    <row r="2" spans="1:9" ht="36" customHeight="1">
      <c r="A2" s="175" t="s">
        <v>1458</v>
      </c>
      <c r="B2" s="175"/>
      <c r="C2" s="176"/>
      <c r="D2" s="328"/>
      <c r="E2" s="177"/>
      <c r="F2" s="204" t="str">
        <f>'Auto Responses'!$A$36</f>
        <v>Version 4.1.0</v>
      </c>
    </row>
    <row r="3" spans="1:9" s="1" customFormat="1" ht="29" customHeight="1">
      <c r="A3" s="44" t="s">
        <v>996</v>
      </c>
      <c r="B3" s="85"/>
      <c r="C3" s="73">
        <f>'START HERE'!$C$3</f>
        <v>46216</v>
      </c>
      <c r="D3" s="329"/>
      <c r="E3" s="43"/>
      <c r="F3" s="57"/>
      <c r="H3" s="42"/>
    </row>
    <row r="4" spans="1:9" s="1" customFormat="1" ht="36" customHeight="1">
      <c r="A4" s="17" t="s">
        <v>921</v>
      </c>
      <c r="B4" s="18"/>
      <c r="C4" s="19"/>
      <c r="D4" s="20"/>
      <c r="E4" s="21"/>
      <c r="F4" s="21"/>
      <c r="H4" s="42"/>
    </row>
    <row r="5" spans="1:9" s="1" customFormat="1" ht="19.5" customHeight="1">
      <c r="A5" s="49" t="str">
        <f>HLOOKUP($A$4,'Auto Responses'!$D$2:$D$8,2,0)&amp;""</f>
        <v>1. Complete the "Start Here" tab and review the "Required Questions" guidance to find the other sections are required for your product or service.</v>
      </c>
      <c r="B5" s="22"/>
      <c r="C5" s="74"/>
      <c r="D5" s="330"/>
      <c r="E5" s="22"/>
      <c r="F5" s="279"/>
      <c r="I5" s="42"/>
    </row>
    <row r="6" spans="1:9" s="1" customFormat="1" ht="19.5" customHeight="1">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9" s="1" customFormat="1" ht="19.5" customHeight="1">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9" s="1" customFormat="1" ht="19.5" customHeight="1">
      <c r="A8" s="49" t="str">
        <f>HLOOKUP($A$4,'Auto Responses'!$D$2:$D$8,5,0)&amp;""</f>
        <v>4. DO NOT complete any fields in the "Evaluation" sheets or the "Analyst Notes" column.</v>
      </c>
      <c r="B8" s="22"/>
      <c r="C8" s="74"/>
      <c r="D8" s="330"/>
      <c r="E8" s="22"/>
      <c r="F8" s="280"/>
      <c r="I8" s="42"/>
    </row>
    <row r="9" spans="1:9" s="1" customFormat="1" ht="19.5" customHeight="1">
      <c r="A9" s="49" t="str">
        <f>HLOOKUP($A$4,'Auto Responses'!$D$2:$D$8,6,0)&amp;""</f>
        <v>5. Return the completed file to institutions.</v>
      </c>
      <c r="B9" s="22"/>
      <c r="C9" s="74"/>
      <c r="D9" s="330"/>
      <c r="E9" s="22"/>
      <c r="F9" s="280"/>
      <c r="I9" s="42"/>
    </row>
    <row r="10" spans="1:9" s="1" customFormat="1" ht="19.5" customHeight="1">
      <c r="A10" s="265" t="str">
        <f>HLOOKUP($A$4,'Auto Responses'!$D$2:$D$8,7,0)&amp;""</f>
        <v>* Denotes critical questions. Critical questions are those deemed most important to institutions by higher education volunteers.</v>
      </c>
      <c r="B10" s="22"/>
      <c r="C10" s="74"/>
      <c r="D10" s="330"/>
      <c r="E10" s="22"/>
      <c r="F10" s="280"/>
      <c r="I10" s="42"/>
    </row>
    <row r="11" spans="1:9" s="1" customFormat="1" ht="19.5" customHeight="1">
      <c r="A11" s="264" t="str">
        <f>HLOOKUP($A$4,'Auto Responses'!$D$2:$D$9,8,0)&amp;""</f>
        <v>For full instructions, please visit educause.edu/HECVAT</v>
      </c>
      <c r="B11" s="22"/>
      <c r="C11" s="74"/>
      <c r="D11" s="330"/>
      <c r="E11" s="22"/>
      <c r="F11" s="281"/>
      <c r="I11" s="42"/>
    </row>
    <row r="12" spans="1:9" s="1" customFormat="1" ht="36" customHeight="1">
      <c r="A12" s="70" t="str">
        <f>VLOOKUP(LEFT($A13,4),'Auto Responses'!$N$4:$O$38,2,0)&amp;""</f>
        <v xml:space="preserve"> General Information</v>
      </c>
      <c r="B12" s="18"/>
      <c r="C12" s="19" t="s">
        <v>1583</v>
      </c>
      <c r="D12" s="346"/>
      <c r="E12" s="87"/>
      <c r="F12" s="87"/>
      <c r="H12" s="42"/>
    </row>
    <row r="13" spans="1:9" s="1" customFormat="1" ht="22.25" customHeight="1">
      <c r="A13" s="25" t="s">
        <v>21</v>
      </c>
      <c r="B13" s="86" t="str">
        <f>VLOOKUP($A13,Questions!$A$2:$X$333,2,0)&amp;""</f>
        <v>Solution Provider Name</v>
      </c>
      <c r="C13" s="83" t="str">
        <f>VLOOKUP($A13,'START HERE'!$A$13:$C$21,3,0)&amp;""</f>
        <v>America's Software Corporation</v>
      </c>
      <c r="D13" s="329"/>
      <c r="E13" s="43"/>
      <c r="F13" s="57"/>
      <c r="H13" s="42"/>
    </row>
    <row r="14" spans="1:9" s="1" customFormat="1" ht="22.25" customHeight="1">
      <c r="A14" s="25" t="s">
        <v>24</v>
      </c>
      <c r="B14" s="86" t="str">
        <f>VLOOKUP($A14,Questions!$A$2:$X$333,2,0)&amp;""</f>
        <v>Solution Name</v>
      </c>
      <c r="C14" s="83" t="str">
        <f>VLOOKUP($A14,'START HERE'!$A$13:$C$21,3,0)&amp;""</f>
        <v>TalEval, Discovery Pro</v>
      </c>
      <c r="D14" s="329"/>
      <c r="E14" s="43"/>
      <c r="F14" s="57"/>
      <c r="H14" s="42"/>
    </row>
    <row r="15" spans="1:9" s="1" customFormat="1" ht="22.25" customHeight="1">
      <c r="A15" s="25" t="s">
        <v>25</v>
      </c>
      <c r="B15" s="86" t="str">
        <f>VLOOKUP($A15,Questions!$A$2:$X$333,2,0)&amp;""</f>
        <v>Solution Description</v>
      </c>
      <c r="C15" s="83" t="str">
        <f>VLOOKUP($A15,'START HERE'!$A$13:$C$21,3,0)&amp;""</f>
        <v>Dental Hygiene/COS Student  Tracking</v>
      </c>
      <c r="D15" s="329"/>
      <c r="E15" s="43"/>
      <c r="F15" s="57"/>
      <c r="H15" s="42"/>
    </row>
    <row r="16" spans="1:9" s="1" customFormat="1" ht="22.25" customHeight="1">
      <c r="A16" s="25" t="s">
        <v>30</v>
      </c>
      <c r="B16" s="86" t="str">
        <f>VLOOKUP($A16,Questions!$A$2:$X$333,2,0)&amp;""</f>
        <v>Country of Company Headquarters</v>
      </c>
      <c r="C16" s="83" t="str">
        <f>VLOOKUP($A16,'START HERE'!$A$13:$C$21,3,0)&amp;""</f>
        <v>USA</v>
      </c>
      <c r="D16" s="329"/>
      <c r="E16" s="43"/>
      <c r="F16" s="57"/>
      <c r="H16" s="42"/>
    </row>
    <row r="17" spans="1:8" s="1" customFormat="1" ht="22.25" customHeight="1">
      <c r="A17" s="25" t="s">
        <v>32</v>
      </c>
      <c r="B17" s="86" t="str">
        <f>VLOOKUP($A17,Questions!$A$2:$X$333,2,0)&amp;""</f>
        <v>Employee Work Locations (all)</v>
      </c>
      <c r="C17" s="83" t="str">
        <f>VLOOKUP($A17,'START HERE'!$A$13:$C$21,3,0)&amp;""</f>
        <v>SOUTH CAROLINA</v>
      </c>
      <c r="D17" s="329"/>
      <c r="E17" s="43"/>
      <c r="F17" s="57"/>
      <c r="H17" s="42"/>
    </row>
    <row r="18" spans="1:8" s="1" customFormat="1" ht="37.25" customHeight="1" thickBot="1">
      <c r="A18" s="70" t="str">
        <f>VLOOKUP(LEFT($A19,4),'Auto Responses'!$N$4:$O$38,2,0)&amp;""</f>
        <v xml:space="preserve"> Required Questions</v>
      </c>
      <c r="B18" s="29"/>
      <c r="C18" s="19" t="s">
        <v>1583</v>
      </c>
      <c r="D18" s="19" t="s">
        <v>72</v>
      </c>
      <c r="E18" s="38" t="s">
        <v>904</v>
      </c>
      <c r="F18" s="210" t="s">
        <v>905</v>
      </c>
      <c r="H18" s="42"/>
    </row>
    <row r="19" spans="1:8" s="1" customFormat="1" ht="38.25" customHeight="1">
      <c r="A19" s="25" t="s">
        <v>58</v>
      </c>
      <c r="B19" s="24" t="str">
        <f>VLOOKUP($A19,Questions!$A$2:$X$333,2,0)</f>
        <v>Does your solution have AI features, or are there plans to implement AI features in the next 12 months?</v>
      </c>
      <c r="C19" s="79" t="str">
        <f>VLOOKUP($A19,'START HERE'!$A$23:$F$36,3,0)&amp;""</f>
        <v>no</v>
      </c>
      <c r="D19" s="332" t="str">
        <f>VLOOKUP($A19,'START HERE'!$A$23:$F$36,4,0)&amp;""</f>
        <v/>
      </c>
      <c r="E19" s="28" t="str">
        <f>IF($C19="Yes",VLOOKUP($A19,Questions!$A$2:$X$333,17,0)&amp;"",IF($C19="No",VLOOKUP($A19,Questions!$A$2:$X$333,16,0)&amp;"",VLOOKUP($A19,Questions!$A$2:$X$333,15,0)&amp;""))</f>
        <v>DO NOT complete the Artificial Intelligence (AI) worksheet</v>
      </c>
      <c r="F19" s="211" t="str">
        <f>VLOOKUP($A19,'START HERE'!$A$23:$F$36,6,0)&amp;""</f>
        <v/>
      </c>
      <c r="H19" s="42"/>
    </row>
    <row r="20" spans="1:8" s="1" customFormat="1" ht="50.25" customHeight="1">
      <c r="A20" s="25" t="s">
        <v>61</v>
      </c>
      <c r="B20" s="24" t="str">
        <f>VLOOKUP($A20,Questions!$A$2:$X$333,2,0)</f>
        <v>Does your solution process protected health information (PHI) or any data covered by the Health Insurance Portability and Accountability Act (HIPAA)?</v>
      </c>
      <c r="C20" s="79" t="str">
        <f>VLOOKUP($A20,'START HERE'!$A$23:$F$36,3,0)&amp;""</f>
        <v>no</v>
      </c>
      <c r="D20" s="332" t="str">
        <f>VLOOKUP($A20,'START HERE'!$A$23:$F$36,4,0)&amp;""</f>
        <v/>
      </c>
      <c r="E20" s="28" t="str">
        <f>IF($C20="Yes",VLOOKUP($A20,Questions!$A$2:$X$333,17,0)&amp;"",IF($C20="No",VLOOKUP($A20,Questions!$A$2:$X$333,16,0)&amp;"",VLOOKUP($A20,Questions!$A$2:$X$333,15,0)&amp;""))</f>
        <v>DO NOT complete the HIPAA section in the Case-Specific worksheet</v>
      </c>
      <c r="F20" s="211" t="str">
        <f>VLOOKUP($A20,'START HERE'!$A$23:$F$36,6,0)&amp;""</f>
        <v/>
      </c>
      <c r="H20" s="42"/>
    </row>
    <row r="21" spans="1:8" s="1" customFormat="1" ht="56.25" customHeight="1">
      <c r="A21" s="25" t="s">
        <v>64</v>
      </c>
      <c r="B21" s="24" t="str">
        <f>VLOOKUP($A21,Questions!$A$2:$X$333,2,0)</f>
        <v>Is the solution designed to process, store, or transmit credit card information?</v>
      </c>
      <c r="C21" s="79" t="str">
        <f>VLOOKUP($A21,'START HERE'!$A$23:$F$36,3,0)&amp;""</f>
        <v>no</v>
      </c>
      <c r="D21" s="332" t="str">
        <f>VLOOKUP($A21,'START HERE'!$A$23:$F$36,4,0)&amp;""</f>
        <v/>
      </c>
      <c r="E21" s="28" t="str">
        <f>IF($C21="Yes",VLOOKUP($A21,Questions!$A$2:$X$333,17,0)&amp;"",IF($C21="No",VLOOKUP($A21,Questions!$A$2:$X$333,16,0)&amp;"",VLOOKUP($A21,Questions!$A$2:$X$333,15,0)&amp;""))</f>
        <v>DO NOT complete the PCI-DSS section in the Case-Specific worksheet</v>
      </c>
      <c r="F21" s="211" t="str">
        <f>VLOOKUP($A21,'START HERE'!$A$23:$F$36,6,0)&amp;""</f>
        <v/>
      </c>
      <c r="H21" s="42"/>
    </row>
    <row r="22" spans="1:8" s="1" customFormat="1" ht="56.25" customHeight="1" thickBot="1">
      <c r="A22" s="25" t="s">
        <v>1025</v>
      </c>
      <c r="B22" s="24" t="str">
        <f>VLOOKUP($A22,Questions!$A$2:$X$333,2,0)</f>
        <v>Does your solution have access to personal or institutional data?</v>
      </c>
      <c r="C22" s="79" t="str">
        <f>VLOOKUP($A22,'START HERE'!$A$23:$F$36,3,0)&amp;""</f>
        <v>yes</v>
      </c>
      <c r="D22" s="332" t="str">
        <f>VLOOKUP($A22,'START HERE'!$A$23:$F$36,4,0)&amp;""</f>
        <v>TalEval stores limited personal information (student first/last name, program entry and graduation dates) required for academic evaluation. The solution does not store Social Security numbers, financial data, medical histories, or other high-risk sensitive data. The application does not interface with other institutional systems, and all data remains contained within TalEval.</v>
      </c>
      <c r="E22" s="28" t="str">
        <f>IF($C22="Yes",VLOOKUP($A22,Questions!$A$2:$X$333,17,0)&amp;"",IF($C22="No",VLOOKUP($A22,Questions!$A$2:$X$333,16,0)&amp;"",VLOOKUP($A22,Questions!$A$2:$X$333,15,0)&amp;""))</f>
        <v>DO complete the Privacy tab</v>
      </c>
      <c r="F22" s="211" t="str">
        <f>VLOOKUP($A22,'START HERE'!$A$23:$F$36,6,0)&amp;""</f>
        <v/>
      </c>
      <c r="G22" s="255" t="s">
        <v>1531</v>
      </c>
      <c r="H22" s="42"/>
    </row>
    <row r="23" spans="1:8" s="1" customFormat="1" ht="37.25" customHeight="1" thickBot="1">
      <c r="A23" s="70" t="str">
        <f>VLOOKUP(LEFT($A24,4),'Auto Responses'!$N$4:$O$38,2,0)&amp;""</f>
        <v xml:space="preserve"> General Privacy</v>
      </c>
      <c r="B23" s="29"/>
      <c r="C23" s="19" t="s">
        <v>1583</v>
      </c>
      <c r="D23" s="19" t="s">
        <v>72</v>
      </c>
      <c r="E23" s="38" t="s">
        <v>904</v>
      </c>
      <c r="F23" s="209" t="s">
        <v>905</v>
      </c>
      <c r="H23" s="42"/>
    </row>
    <row r="24" spans="1:8" s="1" customFormat="1" ht="29.25" customHeight="1">
      <c r="A24" s="25" t="s">
        <v>913</v>
      </c>
      <c r="B24" s="24" t="str">
        <f>VLOOKUP($A24,Questions!$A$2:$X$333,2,0)</f>
        <v>Does your solution process FERPA-related data?</v>
      </c>
      <c r="C24" s="27" t="s">
        <v>1652</v>
      </c>
      <c r="D24" s="345" t="s">
        <v>1733</v>
      </c>
      <c r="E24" s="28" t="str">
        <f>IF($C24="Yes",VLOOKUP($A24,Questions!$A$2:$X$333,17,0)&amp;"",IF($C24="No",VLOOKUP($A24,Questions!$A$2:$X$333,16,0)&amp;"",VLOOKUP($A24,Questions!$A$2:$X$333,15,0)&amp;""))</f>
        <v/>
      </c>
      <c r="F24" s="211" t="str">
        <f>VLOOKUP($A24,'Privacy Analyst Evaluation'!$A$46:$F$120,6,0)&amp;""</f>
        <v/>
      </c>
      <c r="H24" s="42"/>
    </row>
    <row r="25" spans="1:8" s="1" customFormat="1" ht="27" customHeight="1">
      <c r="A25" s="25" t="s">
        <v>914</v>
      </c>
      <c r="B25" s="24" t="str">
        <f>VLOOKUP($A25,Questions!$A$2:$X$333,2,0)</f>
        <v>Does your solution process GDPR-related or PIPL-related data?</v>
      </c>
      <c r="C25" s="27" t="s">
        <v>1654</v>
      </c>
      <c r="D25" s="345" t="s">
        <v>1734</v>
      </c>
      <c r="E25" s="28" t="str">
        <f>IF($C25="Yes",VLOOKUP($A25,Questions!$A$2:$X$333,17,0)&amp;"",IF($C25="No",VLOOKUP($A25,Questions!$A$2:$X$333,16,0)&amp;"",VLOOKUP($A25,Questions!$A$2:$X$333,15,0)&amp;""))</f>
        <v/>
      </c>
      <c r="F25" s="211" t="str">
        <f>VLOOKUP($A25,'Privacy Analyst Evaluation'!$A$46:$F$120,6,0)&amp;""</f>
        <v/>
      </c>
      <c r="H25" s="42"/>
    </row>
    <row r="26" spans="1:8" s="1" customFormat="1" ht="35.25" customHeight="1">
      <c r="A26" s="25" t="s">
        <v>915</v>
      </c>
      <c r="B26" s="24" t="str">
        <f>VLOOKUP($A26,Questions!$A$2:$X$333,2,0)</f>
        <v>Does your solution process personal data regulated by state law(s) (e.g., CCPA)?</v>
      </c>
      <c r="C26" s="27" t="s">
        <v>149</v>
      </c>
      <c r="D26" s="345"/>
      <c r="E26" s="28" t="str">
        <f>IF($C26="Yes",VLOOKUP($A26,Questions!$A$2:$X$333,17,0)&amp;"",IF($C26="No",VLOOKUP($A26,Questions!$A$2:$X$333,16,0)&amp;"",VLOOKUP($A26,Questions!$A$2:$X$333,15,0)&amp;""))</f>
        <v/>
      </c>
      <c r="F26" s="211" t="str">
        <f>VLOOKUP($A26,'Privacy Analyst Evaluation'!$A$46:$F$120,6,0)&amp;""</f>
        <v/>
      </c>
      <c r="H26" s="42"/>
    </row>
    <row r="27" spans="1:8" s="1" customFormat="1" ht="39" customHeight="1">
      <c r="A27" s="25" t="s">
        <v>916</v>
      </c>
      <c r="B27" s="24" t="str">
        <f>VLOOKUP($A27,Questions!$A$2:$X$333,2,0)</f>
        <v>Does your solution process user-provided data that may contain regulated information?</v>
      </c>
      <c r="C27" s="27" t="s">
        <v>149</v>
      </c>
      <c r="D27" s="345"/>
      <c r="E27" s="28" t="str">
        <f>IF($C27="Yes",VLOOKUP($A27,Questions!$A$2:$X$333,17,0)&amp;"",IF($C27="No",VLOOKUP($A27,Questions!$A$2:$X$333,16,0)&amp;"",VLOOKUP($A27,Questions!$A$2:$X$333,15,0)&amp;""))</f>
        <v/>
      </c>
      <c r="F27" s="211" t="str">
        <f>VLOOKUP($A27,'Privacy Analyst Evaluation'!$A$46:$F$120,6,0)&amp;""</f>
        <v/>
      </c>
      <c r="H27" s="42"/>
    </row>
    <row r="28" spans="1:8" s="1" customFormat="1" ht="27.75" customHeight="1" thickBot="1">
      <c r="A28" s="25" t="s">
        <v>917</v>
      </c>
      <c r="B28" s="24" t="str">
        <f>VLOOKUP($A28,Questions!$A$2:$X$333,2,0)</f>
        <v>Web Link to Product/Service Privacy Notice</v>
      </c>
      <c r="C28" s="83"/>
      <c r="D28" s="340" t="s">
        <v>1665</v>
      </c>
      <c r="E28" s="28" t="str">
        <f>IF($C28="Yes",VLOOKUP($A28,Questions!$A$2:$X$333,17,0)&amp;"",IF($C28="No",VLOOKUP($A28,Questions!$A$2:$X$333,16,0)&amp;"",VLOOKUP($A28,Questions!$A$2:$X$333,15,0)&amp;""))</f>
        <v/>
      </c>
      <c r="F28" s="211" t="str">
        <f>VLOOKUP($A28,'Privacy Analyst Evaluation'!$A$46:$F$120,6,0)&amp;""</f>
        <v/>
      </c>
      <c r="G28" s="255" t="s">
        <v>1531</v>
      </c>
      <c r="H28" s="42"/>
    </row>
    <row r="29" spans="1:8" s="1" customFormat="1" ht="37.25" customHeight="1" thickBot="1">
      <c r="A29" s="70" t="str">
        <f>VLOOKUP(LEFT($A30,4),'Auto Responses'!$N$4:$O$38,2,0)&amp;""</f>
        <v xml:space="preserve"> Privacy-Specific Company Details</v>
      </c>
      <c r="B29" s="29"/>
      <c r="C29" s="19" t="s">
        <v>1583</v>
      </c>
      <c r="D29" s="19" t="s">
        <v>72</v>
      </c>
      <c r="E29" s="38" t="s">
        <v>904</v>
      </c>
      <c r="F29" s="209" t="s">
        <v>905</v>
      </c>
      <c r="H29" s="42"/>
    </row>
    <row r="30" spans="1:8" s="1" customFormat="1" ht="78" customHeight="1">
      <c r="A30" s="25" t="s">
        <v>714</v>
      </c>
      <c r="B30" s="24" t="str">
        <f>VLOOKUP($A30,Questions!$A$2:$X$333,2,0)</f>
        <v>Have you had a personal data breach in the past three years that involved reporting to a governmental agency, notice to individuals (including voluntary notice), or notice to another organization or institution?*</v>
      </c>
      <c r="C30" s="27" t="s">
        <v>149</v>
      </c>
      <c r="D30" s="345" t="s">
        <v>1735</v>
      </c>
      <c r="E30" s="28" t="str">
        <f>IF($C30="Yes",VLOOKUP($A30,Questions!$A$2:$X$333,17,0)&amp;"",IF($C30="No",VLOOKUP($A30,Questions!$A$2:$X$333,16,0)&amp;"",VLOOKUP($A30,Questions!$A$2:$X$333,15,0)&amp;""))</f>
        <v/>
      </c>
      <c r="F30" s="211" t="str">
        <f>VLOOKUP($A30,'Privacy Analyst Evaluation'!$A$46:$F$120,6,0)&amp;""</f>
        <v/>
      </c>
      <c r="H30" s="42"/>
    </row>
    <row r="31" spans="1:8" s="1" customFormat="1" ht="60.75" customHeight="1">
      <c r="A31" s="25" t="s">
        <v>717</v>
      </c>
      <c r="B31" s="24" t="str">
        <f>VLOOKUP($A31,Questions!$A$2:$X$333,2,0)</f>
        <v>Use this area to share information about your privacy practices that will assist those who are assessing your company data privacy program.*</v>
      </c>
      <c r="C31" s="83"/>
      <c r="D31" s="373" t="s">
        <v>1736</v>
      </c>
      <c r="E31" s="28" t="str">
        <f>IF($C31="Yes",VLOOKUP($A31,Questions!$A$2:$X$333,17,0)&amp;"",IF($C31="No",VLOOKUP($A31,Questions!$A$2:$X$333,16,0)&amp;"",VLOOKUP($A31,Questions!$A$2:$X$333,15,0)&amp;""))</f>
        <v>Share any details that would help data privacy analysts assess your solution.</v>
      </c>
      <c r="F31" s="211" t="str">
        <f>VLOOKUP($A31,'Privacy Analyst Evaluation'!$A$46:$F$120,6,0)&amp;""</f>
        <v/>
      </c>
      <c r="H31" s="42"/>
    </row>
    <row r="32" spans="1:8" s="1" customFormat="1" ht="42.75" customHeight="1">
      <c r="A32" s="25" t="s">
        <v>719</v>
      </c>
      <c r="B32" s="24" t="str">
        <f>VLOOKUP($A32,Questions!$A$2:$X$333,2,0)</f>
        <v>Have you had any data privacy policy or law violations in the past 36 months?</v>
      </c>
      <c r="C32" s="27" t="s">
        <v>149</v>
      </c>
      <c r="D32" s="373" t="s">
        <v>1737</v>
      </c>
      <c r="E32" s="28" t="str">
        <f>IF($C32="Yes",VLOOKUP($A32,Questions!$A$2:$X$333,17,0)&amp;"",IF($C32="No",VLOOKUP($A32,Questions!$A$2:$X$333,16,0)&amp;"",VLOOKUP($A32,Questions!$A$2:$X$333,15,0)&amp;""))</f>
        <v/>
      </c>
      <c r="F32" s="211" t="str">
        <f>VLOOKUP($A32,'Privacy Analyst Evaluation'!$A$46:$F$120,6,0)&amp;""</f>
        <v/>
      </c>
      <c r="H32" s="42"/>
    </row>
    <row r="33" spans="1:8" s="1" customFormat="1" ht="31" thickBot="1">
      <c r="A33" s="25" t="s">
        <v>722</v>
      </c>
      <c r="B33" s="24" t="str">
        <f>VLOOKUP($A33,Questions!$A$2:$X$333,2,0)</f>
        <v>Do you have a dedicated data privacy staff or office?</v>
      </c>
      <c r="C33" s="27" t="s">
        <v>149</v>
      </c>
      <c r="D33" s="373" t="s">
        <v>1738</v>
      </c>
      <c r="E33" s="28" t="str">
        <f>IF($C33="Yes",VLOOKUP($A33,Questions!$A$2:$X$333,17,0)&amp;"",IF($C33="No",VLOOKUP($A33,Questions!$A$2:$X$333,16,0)&amp;"",VLOOKUP($A33,Questions!$A$2:$X$333,15,0)&amp;""))</f>
        <v/>
      </c>
      <c r="F33" s="211" t="str">
        <f>VLOOKUP($A33,'Privacy Analyst Evaluation'!$A$46:$F$120,6,0)&amp;""</f>
        <v/>
      </c>
      <c r="G33" s="255" t="s">
        <v>1531</v>
      </c>
      <c r="H33" s="42"/>
    </row>
    <row r="34" spans="1:8" s="1" customFormat="1" ht="37.25" customHeight="1" thickBot="1">
      <c r="A34" s="70" t="str">
        <f>VLOOKUP(LEFT($A35,4),'Auto Responses'!$N$4:$O$38,2,0)&amp;""</f>
        <v xml:space="preserve"> Privacy-Specific Documentation</v>
      </c>
      <c r="B34" s="29"/>
      <c r="C34" s="19" t="s">
        <v>1583</v>
      </c>
      <c r="D34" s="19" t="s">
        <v>72</v>
      </c>
      <c r="E34" s="38" t="s">
        <v>904</v>
      </c>
      <c r="F34" s="209" t="s">
        <v>905</v>
      </c>
      <c r="H34" s="42"/>
    </row>
    <row r="35" spans="1:8" s="1" customFormat="1" ht="99.75" customHeight="1">
      <c r="A35" s="25" t="s">
        <v>723</v>
      </c>
      <c r="B35" s="24" t="str">
        <f>VLOOKUP($A35,Questions!$A$2:$X$333,2,0)</f>
        <v>If you have completed a SOC 2 audit, does it include the Privacy Trust Service Principle?</v>
      </c>
      <c r="C35" s="27" t="s">
        <v>1614</v>
      </c>
      <c r="D35" s="345" t="s">
        <v>1739</v>
      </c>
      <c r="E35" s="28" t="str">
        <f>IF($C35="Yes",VLOOKUP($A35,Questions!$A$2:$X$333,17,0)&amp;"",IF($C35="No",VLOOKUP($A35,Questions!$A$2:$X$333,16,0)&amp;"",IF($C35="N/A",VLOOKUP($A35,Questions!$A$2:$X$333,18,0)&amp;"",VLOOKUP($A35,Questions!$A$2:$X$333,15,0)&amp;"")))</f>
        <v>Please explain why this does not apply to your product or service.</v>
      </c>
      <c r="F35" s="211" t="str">
        <f>VLOOKUP($A35,'Privacy Analyst Evaluation'!$A$46:$F$120,6,0)&amp;""</f>
        <v/>
      </c>
      <c r="H35" s="42"/>
    </row>
    <row r="36" spans="1:8" s="1" customFormat="1" ht="36.75" customHeight="1">
      <c r="A36" s="25" t="s">
        <v>724</v>
      </c>
      <c r="B36" s="24" t="str">
        <f>VLOOKUP($A36,Questions!$A$2:$X$333,2,0)</f>
        <v>Do you conform with a specific industry-standard privacy framework (e.g., NIST Privacy Framework, GDPR, ISO 27701)?</v>
      </c>
      <c r="C36" s="27" t="s">
        <v>1652</v>
      </c>
      <c r="D36" s="345" t="s">
        <v>1740</v>
      </c>
      <c r="E36" s="28" t="str">
        <f>IF($C36="Yes",VLOOKUP($A36,Questions!$A$2:$X$333,17,0)&amp;"",IF($C36="No",VLOOKUP($A36,Questions!$A$2:$X$333,16,0)&amp;"",VLOOKUP($A36,Questions!$A$2:$X$333,15,0)&amp;""))</f>
        <v>Provide documentation on how your organization conforms to your chosen framework and indicate current certification levels, where appropriate.</v>
      </c>
      <c r="F36" s="211" t="str">
        <f>VLOOKUP($A36,'Privacy Analyst Evaluation'!$A$46:$F$120,6,0)&amp;""</f>
        <v/>
      </c>
      <c r="H36" s="42"/>
    </row>
    <row r="37" spans="1:8" s="1" customFormat="1" ht="40.5" customHeight="1" thickBot="1">
      <c r="A37" s="25" t="s">
        <v>726</v>
      </c>
      <c r="B37" s="24" t="str">
        <f>VLOOKUP($A37,Questions!$A$2:$X$333,2,0)</f>
        <v>Does your employee onboarding and offboarding policy include training of employees on information security and data privacy?</v>
      </c>
      <c r="C37" s="27" t="s">
        <v>149</v>
      </c>
      <c r="D37" s="364" t="s">
        <v>1741</v>
      </c>
      <c r="E37" s="28" t="str">
        <f>IF($C37="Yes",VLOOKUP($A37,Questions!$A$2:$X$333,17,0)&amp;"",IF($C37="No",VLOOKUP($A37,Questions!$A$2:$X$333,16,0)&amp;"",VLOOKUP($A37,Questions!$A$2:$X$333,15,0)&amp;""))</f>
        <v/>
      </c>
      <c r="F37" s="211" t="str">
        <f>VLOOKUP($A37,'Privacy Analyst Evaluation'!$A$46:$F$120,6,0)&amp;""</f>
        <v/>
      </c>
      <c r="G37" s="255" t="s">
        <v>1531</v>
      </c>
      <c r="H37" s="42"/>
    </row>
    <row r="38" spans="1:8" s="1" customFormat="1" ht="37.25" customHeight="1" thickBot="1">
      <c r="A38" s="70" t="str">
        <f>VLOOKUP(LEFT($A39,4),'Auto Responses'!$N$4:$O$38,2,0)&amp;""</f>
        <v xml:space="preserve"> Privacy of Third Parties</v>
      </c>
      <c r="B38" s="29"/>
      <c r="C38" s="19" t="s">
        <v>1583</v>
      </c>
      <c r="D38" s="19" t="s">
        <v>72</v>
      </c>
      <c r="E38" s="38" t="s">
        <v>904</v>
      </c>
      <c r="F38" s="209" t="s">
        <v>905</v>
      </c>
      <c r="H38" s="42"/>
    </row>
    <row r="39" spans="1:8" s="1" customFormat="1" ht="30">
      <c r="A39" s="25" t="s">
        <v>728</v>
      </c>
      <c r="B39" s="24" t="str">
        <f>VLOOKUP($A39,Questions!$A$2:$X$333,2,0)</f>
        <v>Do you have contractual agreements with third parties that require them to maintain standards and to comply with all regulatory requirements?*</v>
      </c>
      <c r="C39" s="27" t="s">
        <v>1652</v>
      </c>
      <c r="D39" s="345" t="s">
        <v>1752</v>
      </c>
      <c r="E39" s="28" t="str">
        <f>IF($C39="Yes",VLOOKUP($A39,Questions!$A$2:$X$333,17,0)&amp;"",IF($C39="No",VLOOKUP($A39,Questions!$A$2:$X$333,16,0)&amp;"",VLOOKUP($A39,Questions!$A$2:$X$333,15,0)&amp;""))</f>
        <v/>
      </c>
      <c r="F39" s="211" t="str">
        <f>VLOOKUP($A39,'Privacy Analyst Evaluation'!$A$46:$F$120,6,0)&amp;""</f>
        <v/>
      </c>
      <c r="H39" s="42"/>
    </row>
    <row r="40" spans="1:8" s="1" customFormat="1" ht="60.75" customHeight="1" thickBot="1">
      <c r="A40" s="25" t="s">
        <v>732</v>
      </c>
      <c r="B40" s="24" t="str">
        <f>VLOOKUP($A40,Questions!$A$2:$X$333,2,0)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40" s="27" t="s">
        <v>149</v>
      </c>
      <c r="D40" s="345" t="s">
        <v>1742</v>
      </c>
      <c r="E40" s="28" t="str">
        <f>IF($C40="Yes",VLOOKUP($A40,Questions!$A$2:$X$333,17,0)&amp;"",IF($C40="No",VLOOKUP($A40,Questions!$A$2:$X$333,16,0)&amp;"",VLOOKUP($A40,Questions!$A$2:$X$333,15,0)&amp;""))</f>
        <v>State your plans to perform data privacy assessments of third parties.</v>
      </c>
      <c r="F40" s="211" t="str">
        <f>VLOOKUP($A40,'Privacy Analyst Evaluation'!$A$46:$F$120,6,0)&amp;""</f>
        <v/>
      </c>
      <c r="G40" s="255" t="s">
        <v>1531</v>
      </c>
      <c r="H40" s="42"/>
    </row>
    <row r="41" spans="1:8" s="1" customFormat="1" ht="37.25" customHeight="1" thickBot="1">
      <c r="A41" s="70" t="str">
        <f>VLOOKUP(LEFT($A42,4),'Auto Responses'!$N$4:$O$38,2,0)&amp;""</f>
        <v xml:space="preserve"> Privacy Change Management</v>
      </c>
      <c r="B41" s="29"/>
      <c r="C41" s="19" t="s">
        <v>1583</v>
      </c>
      <c r="D41" s="19" t="s">
        <v>72</v>
      </c>
      <c r="E41" s="38" t="s">
        <v>904</v>
      </c>
      <c r="F41" s="209" t="s">
        <v>905</v>
      </c>
      <c r="H41" s="42"/>
    </row>
    <row r="42" spans="1:8" s="1" customFormat="1" ht="42.75" customHeight="1">
      <c r="A42" s="25" t="s">
        <v>733</v>
      </c>
      <c r="B42" s="24" t="str">
        <f>VLOOKUP($A42,Questions!$A$2:$X$333,2,0)</f>
        <v>Does your change management process include privacy review and approval?</v>
      </c>
      <c r="C42" s="27" t="s">
        <v>1652</v>
      </c>
      <c r="D42" s="345"/>
      <c r="E42" s="28" t="str">
        <f>IF($C42="Yes",VLOOKUP($A42,Questions!$A$2:$X$333,17,0)&amp;"",IF($C42="No",VLOOKUP($A42,Questions!$A$2:$X$333,16,0)&amp;"",VLOOKUP($A42,Questions!$A$2:$X$333,15,0)&amp;""))</f>
        <v xml:space="preserve">Please describe your process for privacy review. </v>
      </c>
      <c r="F42" s="211" t="str">
        <f>VLOOKUP($A42,'Privacy Analyst Evaluation'!$A$46:$F$120,6,0)&amp;""</f>
        <v/>
      </c>
      <c r="H42" s="42"/>
    </row>
    <row r="43" spans="1:8" s="1" customFormat="1" ht="46.5" customHeight="1" thickBot="1">
      <c r="A43" s="25" t="s">
        <v>736</v>
      </c>
      <c r="B43" s="24" t="str">
        <f>VLOOKUP($A43,Questions!$A$2:$X$333,2,0)</f>
        <v>Do you have policy and procedure, currently implemented, guiding how privacy risks are mitigated until they can be resolved?</v>
      </c>
      <c r="C43" s="27" t="s">
        <v>149</v>
      </c>
      <c r="D43" s="364" t="s">
        <v>1749</v>
      </c>
      <c r="E43" s="28" t="str">
        <f>IF($C43="Yes",VLOOKUP($A43,Questions!$A$2:$X$333,17,0)&amp;"",IF($C43="No",VLOOKUP($A43,Questions!$A$2:$X$333,16,0)&amp;"",VLOOKUP($A43,Questions!$A$2:$X$333,15,0)&amp;""))</f>
        <v/>
      </c>
      <c r="F43" s="211" t="str">
        <f>VLOOKUP($A43,'Privacy Analyst Evaluation'!$A$46:$F$120,6,0)&amp;""</f>
        <v/>
      </c>
      <c r="G43" s="255" t="s">
        <v>1531</v>
      </c>
      <c r="H43" s="42"/>
    </row>
    <row r="44" spans="1:8" s="1" customFormat="1" ht="37.25" customHeight="1" thickBot="1">
      <c r="A44" s="70" t="str">
        <f>VLOOKUP(LEFT($A45,4),'Auto Responses'!$N$4:$O$38,2,0)&amp;""</f>
        <v xml:space="preserve"> Privacy of Sensitive Data</v>
      </c>
      <c r="B44" s="29"/>
      <c r="C44" s="19" t="s">
        <v>1583</v>
      </c>
      <c r="D44" s="19" t="s">
        <v>72</v>
      </c>
      <c r="E44" s="38" t="s">
        <v>904</v>
      </c>
      <c r="F44" s="209" t="s">
        <v>905</v>
      </c>
      <c r="H44" s="42"/>
    </row>
    <row r="45" spans="1:8" s="1" customFormat="1" ht="42.75" customHeight="1">
      <c r="A45" s="25" t="s">
        <v>738</v>
      </c>
      <c r="B45" s="24" t="str">
        <f>VLOOKUP($A45,Questions!$A$2:$X$333,2,0)</f>
        <v>Do you collect, process, or store demographic information?*</v>
      </c>
      <c r="C45" s="27" t="s">
        <v>1654</v>
      </c>
      <c r="D45" s="345"/>
      <c r="E45" s="28" t="str">
        <f>IF($C45="Yes",VLOOKUP($A45,Questions!$A$2:$X$333,17,0)&amp;"",IF($C45="No",VLOOKUP($A45,Questions!$A$2:$X$333,16,0)&amp;"",VLOOKUP($A45,Questions!$A$2:$X$333,15,0)&amp;""))</f>
        <v/>
      </c>
      <c r="F45" s="211" t="str">
        <f>VLOOKUP($A45,'Privacy Analyst Evaluation'!$A$46:$F$120,6,0)&amp;""</f>
        <v/>
      </c>
      <c r="H45" s="42"/>
    </row>
    <row r="46" spans="1:8" s="1" customFormat="1" ht="30">
      <c r="A46" s="25" t="s">
        <v>740</v>
      </c>
      <c r="B46" s="24" t="str">
        <f>VLOOKUP($A46,Questions!$A$2:$X$333,2,0)</f>
        <v>Do you capture or create genetic, biometric, or behaviometric information (e.g.,  facial recognition or fingerprints)?*</v>
      </c>
      <c r="C46" s="27" t="s">
        <v>1654</v>
      </c>
      <c r="D46" s="345"/>
      <c r="E46" s="28" t="str">
        <f>IF($C46="Yes",VLOOKUP($A46,Questions!$A$2:$X$333,17,0)&amp;"",IF($C46="No",VLOOKUP($A46,Questions!$A$2:$X$333,16,0)&amp;"",VLOOKUP($A46,Questions!$A$2:$X$333,15,0)&amp;""))</f>
        <v/>
      </c>
      <c r="F46" s="211" t="str">
        <f>VLOOKUP($A46,'Privacy Analyst Evaluation'!$A$46:$F$120,6,0)&amp;""</f>
        <v/>
      </c>
      <c r="H46" s="42"/>
    </row>
    <row r="47" spans="1:8" s="1" customFormat="1" ht="60" customHeight="1">
      <c r="A47" s="25" t="s">
        <v>743</v>
      </c>
      <c r="B47" s="24" t="str">
        <f>VLOOKUP($A47,Questions!$A$2:$X$333,2,0)</f>
        <v>Do you combine institutional data (including "de-identified," "anonymized," or otherwise masked data) with personal data from any other sources?*</v>
      </c>
      <c r="C47" s="27" t="s">
        <v>1654</v>
      </c>
      <c r="D47" s="345"/>
      <c r="E47" s="28" t="str">
        <f>IF($C47="Yes",VLOOKUP($A47,Questions!$A$2:$X$333,17,0)&amp;"",IF($C47="No",VLOOKUP($A47,Questions!$A$2:$X$333,16,0)&amp;"",VLOOKUP($A47,Questions!$A$2:$X$333,15,0)&amp;""))</f>
        <v/>
      </c>
      <c r="F47" s="211" t="str">
        <f>VLOOKUP($A47,'Privacy Analyst Evaluation'!$A$46:$F$120,6,0)&amp;""</f>
        <v/>
      </c>
      <c r="H47" s="42"/>
    </row>
    <row r="48" spans="1:8" s="1" customFormat="1" ht="36" customHeight="1">
      <c r="A48" s="25" t="s">
        <v>745</v>
      </c>
      <c r="B48" s="24" t="str">
        <f>VLOOKUP($A48,Questions!$A$2:$X$333,2,0)</f>
        <v>Is institutional data coming into or going out of the United States at any point during collection, processing, storage, or archiving?</v>
      </c>
      <c r="C48" s="27" t="s">
        <v>1654</v>
      </c>
      <c r="D48" s="345"/>
      <c r="E48" s="28" t="str">
        <f>IF($C48="Yes",VLOOKUP($A48,Questions!$A$2:$X$333,17,0)&amp;"",IF($C48="No",VLOOKUP($A48,Questions!$A$2:$X$333,16,0)&amp;"",VLOOKUP($A48,Questions!$A$2:$X$333,15,0)&amp;""))</f>
        <v/>
      </c>
      <c r="F48" s="211" t="str">
        <f>VLOOKUP($A48,'Privacy Analyst Evaluation'!$A$46:$F$120,6,0)&amp;""</f>
        <v/>
      </c>
      <c r="H48" s="42"/>
    </row>
    <row r="49" spans="1:8" s="1" customFormat="1" ht="32.25" customHeight="1">
      <c r="A49" s="25" t="s">
        <v>747</v>
      </c>
      <c r="B49" s="24" t="str">
        <f>VLOOKUP($A49,Questions!$A$2:$X$333,2,0)</f>
        <v>Do you capture device information (e.g., IP address, MAC address)?</v>
      </c>
      <c r="C49" s="27" t="s">
        <v>1654</v>
      </c>
      <c r="D49" s="345"/>
      <c r="E49" s="28" t="str">
        <f>IF($C49="Yes",VLOOKUP($A49,Questions!$A$2:$X$333,17,0)&amp;"",IF($C49="No",VLOOKUP($A49,Questions!$A$2:$X$333,16,0)&amp;"",VLOOKUP($A49,Questions!$A$2:$X$333,15,0)&amp;""))</f>
        <v/>
      </c>
      <c r="F49" s="211" t="str">
        <f>VLOOKUP($A49,'Privacy Analyst Evaluation'!$A$46:$F$120,6,0)&amp;""</f>
        <v/>
      </c>
      <c r="H49" s="42"/>
    </row>
    <row r="50" spans="1:8" s="1" customFormat="1" ht="49.5" customHeight="1">
      <c r="A50" s="25" t="s">
        <v>748</v>
      </c>
      <c r="B50" s="24" t="str">
        <f>VLOOKUP($A50,Questions!$A$2:$X$333,2,0)</f>
        <v>Does any part of this service/project involve a web/app tracking component (e.g., use of web-tracking pixels, cookies)?</v>
      </c>
      <c r="C50" s="27" t="s">
        <v>1654</v>
      </c>
      <c r="D50" s="345"/>
      <c r="E50" s="28" t="str">
        <f>IF($C50="Yes",VLOOKUP($A50,Questions!$A$2:$X$333,17,0)&amp;"",IF($C50="No",VLOOKUP($A50,Questions!$A$2:$X$333,16,0)&amp;"",VLOOKUP($A50,Questions!$A$2:$X$333,15,0)&amp;""))</f>
        <v/>
      </c>
      <c r="F50" s="211" t="str">
        <f>VLOOKUP($A50,'Privacy Analyst Evaluation'!$A$46:$F$120,6,0)&amp;""</f>
        <v/>
      </c>
      <c r="H50" s="42"/>
    </row>
    <row r="51" spans="1:8" s="1" customFormat="1" ht="44.25" customHeight="1">
      <c r="A51" s="25" t="s">
        <v>749</v>
      </c>
      <c r="B51" s="24" t="str">
        <f>VLOOKUP($A51,Questions!$A$2:$X$333,2,0)</f>
        <v>Does your staff (or a third party) have access to institutional data (e.g., financial, PHI, or other sensitive information) through any means?</v>
      </c>
      <c r="C51" s="27" t="s">
        <v>1654</v>
      </c>
      <c r="D51" s="345"/>
      <c r="E51" s="28" t="str">
        <f>IF($C51="Yes",VLOOKUP($A51,Questions!$A$2:$X$333,17,0)&amp;"",IF($C51="No",VLOOKUP($A51,Questions!$A$2:$X$333,16,0)&amp;"",VLOOKUP($A51,Questions!$A$2:$X$333,15,0)&amp;""))</f>
        <v/>
      </c>
      <c r="F51" s="211" t="str">
        <f>VLOOKUP($A51,'Privacy Analyst Evaluation'!$A$46:$F$120,6,0)&amp;""</f>
        <v/>
      </c>
      <c r="H51" s="42"/>
    </row>
    <row r="52" spans="1:8" s="1" customFormat="1" ht="52.5" customHeight="1" thickBot="1">
      <c r="A52" s="25" t="s">
        <v>751</v>
      </c>
      <c r="B52" s="24" t="str">
        <f>VLOOKUP($A52,Questions!$A$2:$X$333,2,0)</f>
        <v>Will you handle personal data in a manner compliant with all relevant laws, regulations, and applicable institution policies?</v>
      </c>
      <c r="C52" s="27" t="s">
        <v>1652</v>
      </c>
      <c r="D52" s="347" t="s">
        <v>1743</v>
      </c>
      <c r="E52" s="28" t="str">
        <f>IF($C52="Yes",VLOOKUP($A52,Questions!$A$2:$X$333,17,0)&amp;"",IF($C52="No",VLOOKUP($A52,Questions!$A$2:$X$333,16,0)&amp;"",VLOOKUP($A52,Questions!$A$2:$X$333,15,0)&amp;""))</f>
        <v/>
      </c>
      <c r="F52" s="211" t="str">
        <f>VLOOKUP($A52,'Privacy Analyst Evaluation'!$A$46:$F$120,6,0)&amp;""</f>
        <v/>
      </c>
      <c r="G52" s="255" t="s">
        <v>1531</v>
      </c>
      <c r="H52" s="42"/>
    </row>
    <row r="53" spans="1:8" s="1" customFormat="1" ht="37.25" customHeight="1" thickBot="1">
      <c r="A53" s="70" t="str">
        <f>VLOOKUP(LEFT($A54,4),'Auto Responses'!$N$4:$O$38,2,0)&amp;""</f>
        <v xml:space="preserve"> Privacy Policies and Procedures</v>
      </c>
      <c r="B53" s="29"/>
      <c r="C53" s="19" t="s">
        <v>1583</v>
      </c>
      <c r="D53" s="19" t="s">
        <v>72</v>
      </c>
      <c r="E53" s="38" t="s">
        <v>904</v>
      </c>
      <c r="F53" s="209" t="s">
        <v>905</v>
      </c>
      <c r="H53" s="42"/>
    </row>
    <row r="54" spans="1:8" s="1" customFormat="1" ht="26.25" customHeight="1">
      <c r="A54" s="25" t="s">
        <v>752</v>
      </c>
      <c r="B54" s="24" t="str">
        <f>VLOOKUP($A54,Questions!$A$2:$X$333,2,0)</f>
        <v>Do you have a documented privacy management process?</v>
      </c>
      <c r="C54" s="27" t="s">
        <v>1652</v>
      </c>
      <c r="D54" s="345" t="s">
        <v>1791</v>
      </c>
      <c r="E54" s="28" t="str">
        <f>IF($C54="Yes",VLOOKUP($A54,Questions!$A$2:$X$333,17,0)&amp;"",IF($C54="No",VLOOKUP($A54,Questions!$A$2:$X$333,16,0)&amp;"",VLOOKUP($A54,Questions!$A$2:$X$333,15,0)&amp;""))</f>
        <v>Describe privacy management process or provide links or attach documentation.</v>
      </c>
      <c r="F54" s="211" t="str">
        <f>VLOOKUP($A54,'Privacy Analyst Evaluation'!$A$46:$F$120,6,0)&amp;""</f>
        <v/>
      </c>
      <c r="H54" s="42"/>
    </row>
    <row r="55" spans="1:8" s="1" customFormat="1" ht="40.5" customHeight="1">
      <c r="A55" s="25" t="s">
        <v>756</v>
      </c>
      <c r="B55" s="24" t="str">
        <f>VLOOKUP($A55,Questions!$A$2:$X$333,2,0)</f>
        <v>Are privacy principles designed into the product lifecycle (i.e., privacy-by-design)?</v>
      </c>
      <c r="C55" s="27" t="s">
        <v>1652</v>
      </c>
      <c r="D55" s="364" t="s">
        <v>1792</v>
      </c>
      <c r="E55" s="28" t="str">
        <f>IF($C55="Yes",VLOOKUP($A55,Questions!$A$2:$X$333,17,0)&amp;"",IF($C55="No",VLOOKUP($A55,Questions!$A$2:$X$333,16,0)&amp;"",VLOOKUP($A55,Questions!$A$2:$X$333,15,0)&amp;""))</f>
        <v>Summarize the privacy principles designed into the product lifecycle.</v>
      </c>
      <c r="F55" s="211" t="str">
        <f>VLOOKUP($A55,'Privacy Analyst Evaluation'!$A$46:$F$120,6,0)&amp;""</f>
        <v/>
      </c>
      <c r="H55" s="42"/>
    </row>
    <row r="56" spans="1:8" s="1" customFormat="1" ht="33" customHeight="1">
      <c r="A56" s="25" t="s">
        <v>759</v>
      </c>
      <c r="B56" s="24" t="str">
        <f>VLOOKUP($A56,Questions!$A$2:$X$333,2,0)</f>
        <v>Will you comply with applicable breach notification laws?</v>
      </c>
      <c r="C56" s="27" t="s">
        <v>1652</v>
      </c>
      <c r="D56" s="345" t="s">
        <v>1745</v>
      </c>
      <c r="E56" s="28" t="str">
        <f>IF($C56="Yes",VLOOKUP($A56,Questions!$A$2:$X$333,17,0)&amp;"",IF($C56="No",VLOOKUP($A56,Questions!$A$2:$X$333,16,0)&amp;"",VLOOKUP($A56,Questions!$A$2:$X$333,15,0)&amp;""))</f>
        <v>State how quickly the institution will be notified.</v>
      </c>
      <c r="F56" s="211" t="str">
        <f>VLOOKUP($A56,'Privacy Analyst Evaluation'!$A$46:$F$120,6,0)&amp;""</f>
        <v/>
      </c>
      <c r="H56" s="42"/>
    </row>
    <row r="57" spans="1:8" s="1" customFormat="1" ht="39.75" customHeight="1">
      <c r="A57" s="25" t="s">
        <v>762</v>
      </c>
      <c r="B57" s="24" t="str">
        <f>VLOOKUP($A57,Questions!$A$2:$X$333,2,0)</f>
        <v>Will you comply with the institution's policies regarding user privacy and data protection?</v>
      </c>
      <c r="C57" s="27" t="s">
        <v>1652</v>
      </c>
      <c r="D57" s="364" t="s">
        <v>1793</v>
      </c>
      <c r="E57" s="28" t="str">
        <f>IF($C57="Yes",VLOOKUP($A57,Questions!$A$2:$X$333,17,0)&amp;"",IF($C57="No",VLOOKUP($A57,Questions!$A$2:$X$333,16,0)&amp;"",VLOOKUP($A57,Questions!$A$2:$X$333,15,0)&amp;""))</f>
        <v/>
      </c>
      <c r="F57" s="211" t="str">
        <f>VLOOKUP($A57,'Privacy Analyst Evaluation'!$A$46:$F$120,6,0)&amp;""</f>
        <v/>
      </c>
      <c r="H57" s="42"/>
    </row>
    <row r="58" spans="1:8" s="1" customFormat="1" ht="38.25" customHeight="1">
      <c r="A58" s="25" t="s">
        <v>764</v>
      </c>
      <c r="B58" s="24" t="str">
        <f>VLOOKUP($A58,Questions!$A$2:$X$333,2,0)</f>
        <v>Is your company subject to the laws and regulations of the institution's geographic region?</v>
      </c>
      <c r="C58" s="27" t="s">
        <v>1652</v>
      </c>
      <c r="D58" s="364" t="s">
        <v>1794</v>
      </c>
      <c r="E58" s="28" t="str">
        <f>IF($C58="Yes",VLOOKUP($A58,Questions!$A$2:$X$333,17,0)&amp;"",IF($C58="No",VLOOKUP($A58,Questions!$A$2:$X$333,16,0)&amp;"",VLOOKUP($A58,Questions!$A$2:$X$333,15,0)&amp;""))</f>
        <v/>
      </c>
      <c r="F58" s="211" t="str">
        <f>VLOOKUP($A58,'Privacy Analyst Evaluation'!$A$46:$F$120,6,0)&amp;""</f>
        <v/>
      </c>
      <c r="H58" s="42"/>
    </row>
    <row r="59" spans="1:8" s="1" customFormat="1" ht="29.25" customHeight="1">
      <c r="A59" s="25" t="s">
        <v>766</v>
      </c>
      <c r="B59" s="24" t="str">
        <f>VLOOKUP($A59,Questions!$A$2:$X$333,2,0)</f>
        <v>Do you have a privacy awareness/training program?*</v>
      </c>
      <c r="C59" s="27" t="s">
        <v>1730</v>
      </c>
      <c r="D59" s="364" t="s">
        <v>1795</v>
      </c>
      <c r="E59" s="28" t="str">
        <f>IF($C59="Yes",VLOOKUP($A59,Questions!$A$2:$X$333,17,0)&amp;"",IF($C59="No",VLOOKUP($A59,Questions!$A$2:$X$333,16,0)&amp;"",VLOOKUP($A59,Questions!$A$2:$X$333,15,0)&amp;""))</f>
        <v>Describe plans to include data privacy training.</v>
      </c>
      <c r="F59" s="211" t="str">
        <f>VLOOKUP($A59,'Privacy Analyst Evaluation'!$A$46:$F$120,6,0)&amp;""</f>
        <v/>
      </c>
      <c r="H59" s="42"/>
    </row>
    <row r="60" spans="1:8" s="1" customFormat="1" ht="29.25" customHeight="1">
      <c r="A60" s="25" t="s">
        <v>768</v>
      </c>
      <c r="B60" s="24" t="str">
        <f>VLOOKUP($A60,Questions!$A$2:$X$333,2,0)</f>
        <v>Is privacy awareness training mandatory for all employees?</v>
      </c>
      <c r="C60" s="1" t="s">
        <v>1796</v>
      </c>
      <c r="D60" s="364" t="s">
        <v>1795</v>
      </c>
      <c r="E60" s="28" t="str">
        <f>IF($C61="Yes",VLOOKUP($A60,Questions!$A$2:$X$333,17,0)&amp;"",IF($C61="No",VLOOKUP($A60,Questions!$A$2:$X$333,16,0)&amp;"",VLOOKUP($A60,Questions!$A$2:$X$333,15,0)&amp;""))</f>
        <v>Summarize your privacy awareness training content and state how frequently employees are required to undergo privacy awareness training</v>
      </c>
      <c r="F60" s="211" t="str">
        <f>VLOOKUP($A60,'Privacy Analyst Evaluation'!$A$46:$F$120,6,0)&amp;""</f>
        <v/>
      </c>
      <c r="H60" s="42"/>
    </row>
    <row r="61" spans="1:8" s="1" customFormat="1" ht="39.75" customHeight="1">
      <c r="A61" s="25" t="s">
        <v>772</v>
      </c>
      <c r="B61" s="24" t="str">
        <f>VLOOKUP($A61,Questions!$A$2:$X$333,2,0)</f>
        <v>Is AI privacy and ethics awareness/training required for all employees who work with AI?</v>
      </c>
      <c r="C61" s="27" t="s">
        <v>40</v>
      </c>
      <c r="D61" s="345" t="s">
        <v>1744</v>
      </c>
      <c r="E61" s="28" t="e">
        <f>IF(#REF!="Yes",VLOOKUP($A61,Questions!$A$2:$X$333,17,0)&amp;"",IF(#REF!="No",VLOOKUP($A61,Questions!$A$2:$X$333,16,0)&amp;"",IF(#REF!="N/A",VLOOKUP($A61,Questions!$A$2:$X$333,18,0)&amp;"",VLOOKUP($A61,Questions!$A$2:$X$333,15,0)&amp;"")))</f>
        <v>#REF!</v>
      </c>
      <c r="F61" s="211" t="str">
        <f>VLOOKUP($A61,'Privacy Analyst Evaluation'!$A$46:$F$120,6,0)&amp;""</f>
        <v/>
      </c>
      <c r="H61" s="42"/>
    </row>
    <row r="62" spans="1:8" s="1" customFormat="1" ht="39.75" customHeight="1">
      <c r="A62" s="25" t="s">
        <v>775</v>
      </c>
      <c r="B62" s="24" t="str">
        <f>VLOOKUP($A62,Questions!$A$2:$X$333,2,0)</f>
        <v>Do you have any decision-making processes that are completely automated (i.e., there is no human involvement)?</v>
      </c>
      <c r="C62" s="27" t="s">
        <v>1654</v>
      </c>
      <c r="D62" s="345"/>
      <c r="E62" s="28" t="str">
        <f>IF($C62="Yes",VLOOKUP($A62,Questions!$A$2:$X$333,17,0)&amp;"",IF($C62="No",VLOOKUP($A62,Questions!$A$2:$X$333,16,0)&amp;"",VLOOKUP($A62,Questions!$A$2:$X$333,15,0)&amp;""))</f>
        <v/>
      </c>
      <c r="F62" s="211" t="str">
        <f>VLOOKUP($A62,'Privacy Analyst Evaluation'!$A$46:$F$120,6,0)&amp;""</f>
        <v/>
      </c>
      <c r="H62" s="42"/>
    </row>
    <row r="63" spans="1:8" s="1" customFormat="1" ht="54" customHeight="1">
      <c r="A63" s="25" t="s">
        <v>777</v>
      </c>
      <c r="B63" s="24" t="str">
        <f>VLOOKUP($A63,Questions!$A$2:$X$333,2,0)</f>
        <v>Do you have a documented process for managing automated processing, including validations, monitoring, and data subject requests?</v>
      </c>
      <c r="C63" s="27" t="s">
        <v>149</v>
      </c>
      <c r="D63" s="345" t="s">
        <v>1748</v>
      </c>
      <c r="E63" s="28" t="str">
        <f>IF($C63="Yes",VLOOKUP($A63,Questions!$A$2:$X$333,17,0)&amp;"",IF($C63="No",VLOOKUP($A63,Questions!$A$2:$X$333,16,0)&amp;"",VLOOKUP($A63,Questions!$A$2:$X$333,15,0)&amp;""))</f>
        <v/>
      </c>
      <c r="F63" s="211" t="str">
        <f>VLOOKUP($A63,'Privacy Analyst Evaluation'!$A$46:$F$120,6,0)&amp;""</f>
        <v/>
      </c>
      <c r="H63" s="42"/>
    </row>
    <row r="64" spans="1:8" s="1" customFormat="1" ht="40.5" customHeight="1">
      <c r="A64" s="25" t="s">
        <v>780</v>
      </c>
      <c r="B64" s="24" t="str">
        <f>VLOOKUP($A64,Questions!$A$2:$X$333,2,0)</f>
        <v>Do you have a documented policy for sharing information with law enforcement?</v>
      </c>
      <c r="C64" s="27" t="s">
        <v>1652</v>
      </c>
      <c r="D64" s="345" t="s">
        <v>1746</v>
      </c>
      <c r="E64" s="28" t="str">
        <f>IF($C64="Yes",VLOOKUP($A64,Questions!$A$2:$X$333,17,0)&amp;"",IF($C64="No",VLOOKUP($A64,Questions!$A$2:$X$333,16,0)&amp;"",VLOOKUP($A64,Questions!$A$2:$X$333,15,0)&amp;""))</f>
        <v/>
      </c>
      <c r="F64" s="211" t="str">
        <f>VLOOKUP($A64,'Privacy Analyst Evaluation'!$A$46:$F$120,6,0)&amp;""</f>
        <v/>
      </c>
      <c r="H64" s="42"/>
    </row>
    <row r="65" spans="1:8" s="1" customFormat="1" ht="39.75" customHeight="1">
      <c r="A65" s="25" t="s">
        <v>783</v>
      </c>
      <c r="B65" s="24" t="str">
        <f>VLOOKUP($A65,Questions!$A$2:$X$333,2,0)</f>
        <v>Do you share any institutional data with law enforcement without a valid warrant?*</v>
      </c>
      <c r="C65" s="27" t="s">
        <v>1654</v>
      </c>
      <c r="D65" s="345"/>
      <c r="E65" s="28" t="str">
        <f>IF($C65="Yes",VLOOKUP($A65,Questions!$A$2:$X$333,17,0)&amp;"",IF($C65="No",VLOOKUP($A65,Questions!$A$2:$X$333,16,0)&amp;"",VLOOKUP($A65,Questions!$A$2:$X$333,15,0)&amp;""))</f>
        <v/>
      </c>
      <c r="F65" s="211" t="str">
        <f>VLOOKUP($A65,'Privacy Analyst Evaluation'!$A$46:$F$120,6,0)&amp;""</f>
        <v/>
      </c>
      <c r="H65" s="42"/>
    </row>
    <row r="66" spans="1:8" s="1" customFormat="1" ht="26.25" customHeight="1" thickBot="1">
      <c r="A66" s="25" t="s">
        <v>785</v>
      </c>
      <c r="B66" s="24" t="str">
        <f>VLOOKUP($A66,Questions!$A$2:$X$333,2,0)</f>
        <v>Does your incident response team include a privacy analyst/officer?</v>
      </c>
      <c r="C66" s="27" t="s">
        <v>1652</v>
      </c>
      <c r="D66" s="345" t="s">
        <v>1747</v>
      </c>
      <c r="E66" s="28" t="str">
        <f>IF($C66="Yes",VLOOKUP($A66,Questions!$A$2:$X$333,17,0)&amp;"",IF($C66="No",VLOOKUP($A66,Questions!$A$2:$X$333,16,0)&amp;"",VLOOKUP($A66,Questions!$A$2:$X$333,15,0)&amp;""))</f>
        <v/>
      </c>
      <c r="F66" s="211" t="str">
        <f>VLOOKUP($A66,'Privacy Analyst Evaluation'!$A$46:$F$120,6,0)&amp;""</f>
        <v/>
      </c>
      <c r="G66" s="255" t="s">
        <v>1531</v>
      </c>
      <c r="H66" s="42"/>
    </row>
    <row r="67" spans="1:8" s="1" customFormat="1" ht="37.25" customHeight="1" thickBot="1">
      <c r="A67" s="70" t="str">
        <f>VLOOKUP(LEFT($A68,4),'Auto Responses'!$N$4:$O$38,2,0)&amp;""</f>
        <v xml:space="preserve"> International Privacy</v>
      </c>
      <c r="B67" s="29"/>
      <c r="C67" s="19" t="s">
        <v>1583</v>
      </c>
      <c r="D67" s="19" t="s">
        <v>72</v>
      </c>
      <c r="E67" s="38" t="s">
        <v>904</v>
      </c>
      <c r="F67" s="209" t="s">
        <v>905</v>
      </c>
      <c r="H67" s="42"/>
    </row>
    <row r="68" spans="1:8" s="1" customFormat="1" ht="42.75" customHeight="1">
      <c r="A68" s="25" t="s">
        <v>787</v>
      </c>
      <c r="B68" s="24" t="str">
        <f>VLOOKUP($A68,Questions!$A$2:$X$333,2,0)</f>
        <v>Will data be collected from or processed in or stored in the European Economic Area (EEA)?</v>
      </c>
      <c r="C68" s="27" t="s">
        <v>1654</v>
      </c>
      <c r="D68" s="345"/>
      <c r="E68" s="28" t="str">
        <f>IF($C68="Yes",VLOOKUP($A68,Questions!$A$2:$X$333,17,0)&amp;"",IF($C68="No",VLOOKUP($A68,Questions!$A$2:$X$333,16,0)&amp;"",VLOOKUP($A68,Questions!$A$2:$X$333,15,0)&amp;""))</f>
        <v/>
      </c>
      <c r="F68" s="211" t="str">
        <f>VLOOKUP($A68,'Privacy Analyst Evaluation'!$A$46:$F$120,6,0)&amp;""</f>
        <v/>
      </c>
      <c r="H68" s="42"/>
    </row>
    <row r="69" spans="1:8" s="1" customFormat="1" ht="28.5" customHeight="1">
      <c r="A69" s="25" t="s">
        <v>790</v>
      </c>
      <c r="B69" s="24" t="str">
        <f>VLOOKUP($A69,Questions!$A$2:$X$333,2,0)</f>
        <v>Do you have a data protection officer (DPO)?</v>
      </c>
      <c r="C69" s="27" t="s">
        <v>1654</v>
      </c>
      <c r="D69" s="345"/>
      <c r="E69" s="28" t="str">
        <f>IF($C69="Yes",VLOOKUP($A69,Questions!$A$2:$X$333,17,0)&amp;"",IF($C69="No",VLOOKUP($A69,Questions!$A$2:$X$333,16,0)&amp;"",VLOOKUP($A69,Questions!$A$2:$X$333,15,0)&amp;""))</f>
        <v/>
      </c>
      <c r="F69" s="211" t="str">
        <f>VLOOKUP($A69,'Privacy Analyst Evaluation'!$A$46:$F$120,6,0)&amp;""</f>
        <v/>
      </c>
      <c r="H69" s="42"/>
    </row>
    <row r="70" spans="1:8" s="1" customFormat="1" ht="38.25" customHeight="1">
      <c r="A70" s="25" t="s">
        <v>792</v>
      </c>
      <c r="B70" s="24" t="str">
        <f>VLOOKUP($A70,Questions!$A$2:$X$333,2,0)</f>
        <v>Will you sign appropriate GDPR Standard Contractual Clauses (SCCs) with the institution?</v>
      </c>
      <c r="C70" s="27" t="s">
        <v>1654</v>
      </c>
      <c r="D70" s="364" t="s">
        <v>1750</v>
      </c>
      <c r="E70" s="28" t="str">
        <f>IF($C70="Yes",VLOOKUP($A70,Questions!$A$2:$X$333,17,0)&amp;"",IF($C70="No",VLOOKUP($A70,Questions!$A$2:$X$333,16,0)&amp;"",VLOOKUP($A70,Questions!$A$2:$X$333,15,0)&amp;""))</f>
        <v>Explain why.</v>
      </c>
      <c r="F70" s="211" t="str">
        <f>VLOOKUP($A70,'Privacy Analyst Evaluation'!$A$46:$F$120,6,0)&amp;""</f>
        <v/>
      </c>
      <c r="H70" s="42"/>
    </row>
    <row r="71" spans="1:8" s="1" customFormat="1" ht="25.5" customHeight="1">
      <c r="A71" s="25" t="s">
        <v>794</v>
      </c>
      <c r="B71" s="24" t="str">
        <f>VLOOKUP($A71,Questions!$A$2:$X$333,2,0)</f>
        <v>Will data be collected from or processed in or stored in China?</v>
      </c>
      <c r="C71" s="27" t="s">
        <v>1654</v>
      </c>
      <c r="D71" s="345"/>
      <c r="E71" s="28" t="str">
        <f>IF($C71="Yes",VLOOKUP($A71,Questions!$A$2:$X$333,17,0)&amp;"",IF($C71="No",VLOOKUP($A71,Questions!$A$2:$X$333,16,0)&amp;"",VLOOKUP($A71,Questions!$A$2:$X$333,15,0)&amp;""))</f>
        <v/>
      </c>
      <c r="F71" s="211" t="str">
        <f>VLOOKUP($A71,'Privacy Analyst Evaluation'!$A$46:$F$120,6,0)&amp;""</f>
        <v/>
      </c>
      <c r="H71" s="42"/>
    </row>
    <row r="72" spans="1:8" s="1" customFormat="1" ht="43.5" customHeight="1" thickBot="1">
      <c r="A72" s="25" t="s">
        <v>797</v>
      </c>
      <c r="B72" s="24" t="str">
        <f>VLOOKUP($A72,Questions!$A$2:$X$333,2,0)</f>
        <v>Do you comply with PIPL security, privacy, and data localization requirements?</v>
      </c>
      <c r="C72" s="27" t="s">
        <v>1654</v>
      </c>
      <c r="D72" s="364" t="s">
        <v>1751</v>
      </c>
      <c r="E72" s="28" t="str">
        <f>IF($C72="Yes",VLOOKUP($A72,Questions!$A$2:$X$333,17,0)&amp;"",IF($C72="No",VLOOKUP($A72,Questions!$A$2:$X$333,16,0)&amp;"",IF($C72="N/A",VLOOKUP($A72,Questions!$A$2:$X$333,18,0)&amp;"",VLOOKUP($A72,Questions!$A$2:$X$333,15,0)&amp;"")))</f>
        <v>Explain why.</v>
      </c>
      <c r="F72" s="211" t="str">
        <f>VLOOKUP($A72,'Privacy Analyst Evaluation'!$A$46:$F$120,6,0)&amp;""</f>
        <v/>
      </c>
      <c r="G72" s="255" t="s">
        <v>1531</v>
      </c>
      <c r="H72" s="42"/>
    </row>
    <row r="73" spans="1:8" s="1" customFormat="1" ht="37.25" customHeight="1" thickBot="1">
      <c r="A73" s="70" t="str">
        <f>VLOOKUP(LEFT($A74,4),'Auto Responses'!$N$4:$O$38,2,0)&amp;""</f>
        <v xml:space="preserve"> Data Privacy</v>
      </c>
      <c r="B73" s="29"/>
      <c r="C73" s="19" t="s">
        <v>1583</v>
      </c>
      <c r="D73" s="19" t="s">
        <v>72</v>
      </c>
      <c r="E73" s="38" t="s">
        <v>904</v>
      </c>
      <c r="F73" s="209" t="s">
        <v>905</v>
      </c>
      <c r="H73" s="42"/>
    </row>
    <row r="74" spans="1:8" s="1" customFormat="1" ht="39.75" customHeight="1">
      <c r="A74" s="25" t="s">
        <v>1094</v>
      </c>
      <c r="B74" s="24" t="str">
        <f>VLOOKUP($A74,Questions!$A$2:$X$333,2,0)</f>
        <v>Have you performed a Data Privacy Impact Assesssment for the solution/project?</v>
      </c>
      <c r="C74" s="27" t="s">
        <v>1652</v>
      </c>
      <c r="D74" s="345"/>
      <c r="E74" s="28" t="str">
        <f>IF($C74="Yes",VLOOKUP($A74,Questions!$A$2:$X$333,17,0)&amp;"",IF($C74="No",VLOOKUP($A74,Questions!$A$2:$X$333,16,0)&amp;"",VLOOKUP($A74,Questions!$A$2:$X$333,15,0)&amp;""))</f>
        <v/>
      </c>
      <c r="F74" s="211" t="str">
        <f>VLOOKUP($A74,'Privacy Analyst Evaluation'!$A$46:$F$120,6,0)&amp;""</f>
        <v/>
      </c>
      <c r="H74" s="42"/>
    </row>
    <row r="75" spans="1:8" s="1" customFormat="1" ht="54.75" customHeight="1">
      <c r="A75" s="25" t="s">
        <v>1095</v>
      </c>
      <c r="B75" s="24" t="str">
        <f>VLOOKUP($A75,Questions!$A$2:$X$333,2,0)</f>
        <v>Do you provide an end-user privacy notice about privacy policies and procedures that identify the purpose(s) for which personal information is collected, used, retained, and disclosed?</v>
      </c>
      <c r="C75" s="27" t="s">
        <v>1652</v>
      </c>
      <c r="D75" s="345"/>
      <c r="E75" s="28" t="str">
        <f>IF($C75="Yes",VLOOKUP($A75,Questions!$A$2:$X$333,17,0)&amp;"",IF($C75="No",VLOOKUP($A75,Questions!$A$2:$X$333,16,0)&amp;"",VLOOKUP($A75,Questions!$A$2:$X$333,15,0)&amp;""))</f>
        <v/>
      </c>
      <c r="F75" s="211" t="str">
        <f>VLOOKUP($A75,'Privacy Analyst Evaluation'!$A$46:$F$120,6,0)&amp;""</f>
        <v/>
      </c>
      <c r="H75" s="42"/>
    </row>
    <row r="76" spans="1:8" s="1" customFormat="1" ht="54" customHeight="1">
      <c r="A76" s="25" t="s">
        <v>1096</v>
      </c>
      <c r="B76" s="24" t="str">
        <f>VLOOKUP($A76,Questions!$A$2:$X$333,2,0)</f>
        <v>Do you describe the choices available to the individual and obtain implicit or explicit consent with respect to the collection, use, and disclosure of personal information?</v>
      </c>
      <c r="C76" s="27" t="s">
        <v>1652</v>
      </c>
      <c r="D76" s="345"/>
      <c r="E76" s="28" t="str">
        <f>IF($C76="Yes",VLOOKUP($A76,Questions!$A$2:$X$333,17,0)&amp;"",IF($C76="No",VLOOKUP($A76,Questions!$A$2:$X$333,16,0)&amp;"",IF($C76="N/A",VLOOKUP($A76,Questions!$A$2:$X$333,18,0)&amp;"",VLOOKUP($A76,Questions!$A$2:$X$333,15,0)&amp;"")))</f>
        <v/>
      </c>
      <c r="F76" s="211" t="str">
        <f>VLOOKUP($A76,'Privacy Analyst Evaluation'!$A$46:$F$120,6,0)&amp;""</f>
        <v/>
      </c>
      <c r="H76" s="42"/>
    </row>
    <row r="77" spans="1:8" s="1" customFormat="1" ht="57" customHeight="1">
      <c r="A77" s="25" t="s">
        <v>1097</v>
      </c>
      <c r="B77" s="24" t="str">
        <f>VLOOKUP($A77,Questions!$A$2:$X$333,2,0)</f>
        <v>Do you collect personal information only for the purpose(s) identified in the agreement with an institution or, if there is none, the purpose(s) identified in the privacy notice?</v>
      </c>
      <c r="C77" s="27" t="s">
        <v>1652</v>
      </c>
      <c r="D77" s="345"/>
      <c r="E77" s="28" t="str">
        <f>IF($C77="Yes",VLOOKUP($A77,Questions!$A$2:$X$333,17,0)&amp;"",IF($C77="No",VLOOKUP($A77,Questions!$A$2:$X$333,16,0)&amp;"",IF($C77="N/A",VLOOKUP($A77,Questions!$A$2:$X$333,18,0)&amp;"",VLOOKUP($A77,Questions!$A$2:$X$333,15,0)&amp;"")))</f>
        <v/>
      </c>
      <c r="F77" s="211" t="str">
        <f>VLOOKUP($A77,'Privacy Analyst Evaluation'!$A$46:$F$120,6,0)&amp;""</f>
        <v/>
      </c>
      <c r="H77" s="42"/>
    </row>
    <row r="78" spans="1:8" s="1" customFormat="1" ht="36" customHeight="1">
      <c r="A78" s="25" t="s">
        <v>1098</v>
      </c>
      <c r="B78" s="24" t="str">
        <f>VLOOKUP($A78,Questions!$A$2:$X$333,2,0)</f>
        <v>Do you have a documented list of personal data your service maintains?</v>
      </c>
      <c r="C78" s="27" t="s">
        <v>1652</v>
      </c>
      <c r="D78" s="345"/>
      <c r="E78" s="28" t="str">
        <f>IF($C78="Yes",VLOOKUP($A78,Questions!$A$2:$X$333,17,0)&amp;"",IF($C78="No",VLOOKUP($A78,Questions!$A$2:$X$333,16,0)&amp;"",IF($C78="N/A",VLOOKUP($A78,Questions!$A$2:$X$333,18,0)&amp;"",VLOOKUP($A78,Questions!$A$2:$X$333,15,0)&amp;"")))</f>
        <v/>
      </c>
      <c r="F78" s="211" t="str">
        <f>VLOOKUP($A78,'Privacy Analyst Evaluation'!$A$46:$F$120,6,0)&amp;""</f>
        <v/>
      </c>
      <c r="H78" s="42"/>
    </row>
    <row r="79" spans="1:8" s="1" customFormat="1" ht="57.75" customHeight="1">
      <c r="A79" s="25" t="s">
        <v>1099</v>
      </c>
      <c r="B79" s="24" t="str">
        <f>VLOOKUP($A79,Questions!$A$2:$X$333,2,0)</f>
        <v>Do you retain personal information for only as long as necessary to fulfill the stated purpose(s) or as required by law or regulation and thereafter appropriately dispose of such information?</v>
      </c>
      <c r="C79" s="27" t="s">
        <v>1652</v>
      </c>
      <c r="D79" s="345"/>
      <c r="E79" s="28" t="str">
        <f>IF($C79="Yes",VLOOKUP($A79,Questions!$A$2:$X$333,17,0)&amp;"",IF($C79="No",VLOOKUP($A79,Questions!$A$2:$X$333,16,0)&amp;"",IF($C79="N/A",VLOOKUP($A79,Questions!$A$2:$X$333,18,0)&amp;"",VLOOKUP($A79,Questions!$A$2:$X$333,15,0)&amp;"")))</f>
        <v/>
      </c>
      <c r="F79" s="211" t="str">
        <f>VLOOKUP($A79,'Privacy Analyst Evaluation'!$A$46:$F$120,6,0)&amp;""</f>
        <v/>
      </c>
      <c r="H79" s="42"/>
    </row>
    <row r="80" spans="1:8" s="1" customFormat="1" ht="44.25" customHeight="1">
      <c r="A80" s="25" t="s">
        <v>1100</v>
      </c>
      <c r="B80" s="24" t="str">
        <f>VLOOKUP($A80,Questions!$A$2:$X$333,2,0)</f>
        <v>Do you provide individuals with access to their personal information for review and update (i.e., data subject rights)?</v>
      </c>
      <c r="C80" s="27" t="s">
        <v>1652</v>
      </c>
      <c r="D80" s="345"/>
      <c r="E80" s="28" t="str">
        <f>IF($C80="Yes",VLOOKUP($A80,Questions!$A$2:$X$333,17,0)&amp;"",IF($C80="No",VLOOKUP($A80,Questions!$A$2:$X$333,16,0)&amp;"",IF($C80="N/A",VLOOKUP($A80,Questions!$A$2:$X$333,18,0)&amp;"",VLOOKUP($A80,Questions!$A$2:$X$333,15,0)&amp;"")))</f>
        <v/>
      </c>
      <c r="F80" s="211" t="str">
        <f>VLOOKUP($A80,'Privacy Analyst Evaluation'!$A$46:$F$120,6,0)&amp;""</f>
        <v/>
      </c>
      <c r="H80" s="42"/>
    </row>
    <row r="81" spans="1:8" s="1" customFormat="1" ht="70.5" customHeight="1">
      <c r="A81" s="25" t="s">
        <v>1101</v>
      </c>
      <c r="B81" s="24" t="str">
        <f>VLOOKUP($A81,Questions!$A$2:$X$333,2,0)</f>
        <v>Do you disclose personal information to third parties only for the purpose(s) identified in the privacy notice or with the implicit or explicit consent of the individual?</v>
      </c>
      <c r="C81" s="27" t="s">
        <v>1652</v>
      </c>
      <c r="D81" s="345"/>
      <c r="E81" s="28" t="str">
        <f>IF($C81="Yes",VLOOKUP($A81,Questions!$A$2:$X$333,17,0)&amp;"",IF($C81="No",VLOOKUP($A81,Questions!$A$2:$X$333,16,0)&amp;"",IF($C81="N/A",VLOOKUP($A81,Questions!$A$2:$X$333,18,0)&amp;"",VLOOKUP($A81,Questions!$A$2:$X$333,15,0)&amp;"")))</f>
        <v/>
      </c>
      <c r="F81" s="211" t="str">
        <f>VLOOKUP($A81,'Privacy Analyst Evaluation'!$A$46:$F$120,6,0)&amp;""</f>
        <v/>
      </c>
      <c r="H81" s="42"/>
    </row>
    <row r="82" spans="1:8" s="1" customFormat="1" ht="40.5" customHeight="1">
      <c r="A82" s="25" t="s">
        <v>1102</v>
      </c>
      <c r="B82" s="24" t="str">
        <f>VLOOKUP($A82,Questions!$A$2:$X$333,2,0)</f>
        <v>Do you protect personal information against unauthorized access (both physical and logical)?</v>
      </c>
      <c r="C82" s="27" t="s">
        <v>1652</v>
      </c>
      <c r="D82" s="345"/>
      <c r="E82" s="28" t="str">
        <f>IF($C82="Yes",VLOOKUP($A82,Questions!$A$2:$X$333,17,0)&amp;"",IF($C82="No",VLOOKUP($A82,Questions!$A$2:$X$333,16,0)&amp;"",IF($C82="N/A",VLOOKUP($A82,Questions!$A$2:$X$333,18,0)&amp;"",VLOOKUP($A82,Questions!$A$2:$X$333,15,0)&amp;"")))</f>
        <v/>
      </c>
      <c r="F82" s="211" t="str">
        <f>VLOOKUP($A82,'Privacy Analyst Evaluation'!$A$46:$F$120,6,0)&amp;""</f>
        <v/>
      </c>
      <c r="H82" s="42"/>
    </row>
    <row r="83" spans="1:8" s="1" customFormat="1" ht="49.5" customHeight="1">
      <c r="A83" s="25" t="s">
        <v>1103</v>
      </c>
      <c r="B83" s="24" t="str">
        <f>VLOOKUP($A83,Questions!$A$2:$X$333,2,0)</f>
        <v>Do you maintain accurate, complete, and relevant personal information for the purposes identified in the privacy notice?</v>
      </c>
      <c r="C83" s="27" t="s">
        <v>1652</v>
      </c>
      <c r="D83" s="345"/>
      <c r="E83" s="28" t="str">
        <f>IF($C83="Yes",VLOOKUP($A83,Questions!$A$2:$X$333,17,0)&amp;"",IF($C83="No",VLOOKUP($A83,Questions!$A$2:$X$333,16,0)&amp;"",IF($C83="N/A",VLOOKUP($A83,Questions!$A$2:$X$333,18,0)&amp;"",VLOOKUP($A83,Questions!$A$2:$X$333,15,0)&amp;"")))</f>
        <v/>
      </c>
      <c r="F83" s="211" t="str">
        <f>VLOOKUP($A83,'Privacy Analyst Evaluation'!$A$46:$F$120,6,0)&amp;""</f>
        <v/>
      </c>
      <c r="H83" s="42"/>
    </row>
    <row r="84" spans="1:8" s="1" customFormat="1" ht="46.5" customHeight="1">
      <c r="A84" s="25" t="s">
        <v>1104</v>
      </c>
      <c r="B84" s="24" t="str">
        <f>VLOOKUP($A84,Questions!$A$2:$X$333,2,0)</f>
        <v>Do you have procedures to address privacy-related noncompliance complaints and disputes?</v>
      </c>
      <c r="C84" s="27" t="s">
        <v>1654</v>
      </c>
      <c r="D84" s="345"/>
      <c r="E84" s="28" t="str">
        <f>IF($C84="Yes",VLOOKUP($A84,Questions!$A$2:$X$333,17,0)&amp;"",IF($C84="No",VLOOKUP($A84,Questions!$A$2:$X$333,16,0)&amp;"",IF($C84="N/A",VLOOKUP($A84,Questions!$A$2:$X$333,18,0)&amp;"",VLOOKUP($A84,Questions!$A$2:$X$333,15,0)&amp;"")))</f>
        <v/>
      </c>
      <c r="F84" s="211" t="str">
        <f>VLOOKUP($A84,'Privacy Analyst Evaluation'!$A$46:$F$120,6,0)&amp;""</f>
        <v/>
      </c>
      <c r="H84" s="42"/>
    </row>
    <row r="85" spans="1:8" s="1" customFormat="1" ht="45" customHeight="1">
      <c r="A85" s="25" t="s">
        <v>1105</v>
      </c>
      <c r="B85" s="24" t="str">
        <f>VLOOKUP($A85,Questions!$A$2:$X$333,2,0)</f>
        <v>Do you "anonymize," "de-identify," or otherwise mask personal data?</v>
      </c>
      <c r="C85" s="27" t="s">
        <v>1652</v>
      </c>
      <c r="D85" s="345"/>
      <c r="E85" s="28" t="str">
        <f>IF($C85="Yes",VLOOKUP($A85,Questions!$A$2:$X$333,17,0)&amp;"",IF($C85="No",VLOOKUP($A85,Questions!$A$2:$X$333,16,0)&amp;"",IF($C85="N/A",VLOOKUP($A85,Questions!$A$2:$X$333,18,0)&amp;"",VLOOKUP($A85,Questions!$A$2:$X$333,15,0)&amp;"")))</f>
        <v/>
      </c>
      <c r="F85" s="211" t="str">
        <f>VLOOKUP($A85,'Privacy Analyst Evaluation'!$A$46:$F$120,6,0)&amp;""</f>
        <v/>
      </c>
      <c r="H85" s="42"/>
    </row>
    <row r="86" spans="1:8" s="1" customFormat="1" ht="93" customHeight="1">
      <c r="A86" s="25" t="s">
        <v>1106</v>
      </c>
      <c r="B86" s="24" t="str">
        <f>VLOOKUP($A86,Questions!$A$2:$X$333,2,0)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86" s="27" t="s">
        <v>1654</v>
      </c>
      <c r="D86" s="345"/>
      <c r="E86" s="28" t="str">
        <f>IF($C86="Yes",VLOOKUP($A86,Questions!$A$2:$X$333,17,0)&amp;"",IF($C86="No",VLOOKUP($A86,Questions!$A$2:$X$333,16,0)&amp;"",IF($C86="N/A",VLOOKUP($A86,Questions!$A$2:$X$333,18,0)&amp;"",VLOOKUP($A86,Questions!$A$2:$X$333,15,0)&amp;"")))</f>
        <v/>
      </c>
      <c r="F86" s="211" t="str">
        <f>VLOOKUP($A86,'Privacy Analyst Evaluation'!$A$46:$F$120,6,0)&amp;""</f>
        <v/>
      </c>
      <c r="H86" s="42"/>
    </row>
    <row r="87" spans="1:8" s="1" customFormat="1" ht="48" customHeight="1">
      <c r="A87" s="25" t="s">
        <v>1107</v>
      </c>
      <c r="B87" s="24" t="str">
        <f>VLOOKUP($A87,Questions!$A$2:$X$333,2,0)</f>
        <v>Do you certify stop-processing requests, including any data that is processed by a third party on your behalf?</v>
      </c>
      <c r="C87" s="27" t="s">
        <v>1652</v>
      </c>
      <c r="D87" s="345"/>
      <c r="E87" s="28" t="str">
        <f>IF($C87="Yes",VLOOKUP($A87,Questions!$A$2:$X$333,17,0)&amp;"",IF($C87="No",VLOOKUP($A87,Questions!$A$2:$X$333,16,0)&amp;"",IF($C87="N/A",VLOOKUP($A87,Questions!$A$2:$X$333,18,0)&amp;"",VLOOKUP($A87,Questions!$A$2:$X$333,15,0)&amp;"")))</f>
        <v/>
      </c>
      <c r="F87" s="211" t="str">
        <f>VLOOKUP($A87,'Privacy Analyst Evaluation'!$A$46:$F$120,6,0)&amp;""</f>
        <v/>
      </c>
      <c r="H87" s="42"/>
    </row>
    <row r="88" spans="1:8" s="1" customFormat="1" ht="36.75" customHeight="1" thickBot="1">
      <c r="A88" s="25" t="s">
        <v>1108</v>
      </c>
      <c r="B88" s="24" t="str">
        <f>VLOOKUP($A88,Questions!$A$2:$X$333,2,0)</f>
        <v>Do you have a process to review code for ethical considerations?</v>
      </c>
      <c r="C88" s="27" t="s">
        <v>1652</v>
      </c>
      <c r="D88" s="345"/>
      <c r="E88" s="28" t="str">
        <f>IF($C88="Yes",VLOOKUP($A88,Questions!$A$2:$X$333,17,0)&amp;"",IF($C88="No",VLOOKUP($A88,Questions!$A$2:$X$333,16,0)&amp;"",VLOOKUP($A88,Questions!$A$2:$X$333,15,0)&amp;""))</f>
        <v/>
      </c>
      <c r="F88" s="211" t="str">
        <f>VLOOKUP($A88,'Privacy Analyst Evaluation'!$A$46:$F$120,6,0)&amp;""</f>
        <v/>
      </c>
      <c r="G88" s="255" t="s">
        <v>1531</v>
      </c>
      <c r="H88" s="42"/>
    </row>
    <row r="89" spans="1:8" s="1" customFormat="1" ht="37.25" customHeight="1" thickBot="1">
      <c r="A89" s="70" t="str">
        <f>VLOOKUP(LEFT($A90,4),'Auto Responses'!$N$4:$O$38,2,0)&amp;""</f>
        <v xml:space="preserve"> Privacy and AI</v>
      </c>
      <c r="B89" s="29"/>
      <c r="C89" s="19" t="s">
        <v>1583</v>
      </c>
      <c r="D89" s="19" t="s">
        <v>72</v>
      </c>
      <c r="E89" s="38" t="s">
        <v>904</v>
      </c>
      <c r="F89" s="209" t="s">
        <v>905</v>
      </c>
      <c r="H89" s="42"/>
    </row>
    <row r="90" spans="1:8" s="1" customFormat="1" ht="32.25" customHeight="1">
      <c r="A90" s="25" t="s">
        <v>1109</v>
      </c>
      <c r="B90" s="24" t="str">
        <f>VLOOKUP($A90,Questions!$A$2:$X$333,2,0)</f>
        <v>Does your service use AI for the processing of institutional data?</v>
      </c>
      <c r="C90" s="27"/>
      <c r="D90" s="345"/>
      <c r="E90" s="28" t="str">
        <f>IF($C$19="No",'Auto Responses'!$A$6,IF($C90="Yes",VLOOKUP($A90,Questions!$A$2:$X$333,17,0)&amp;"",IF($C90="No",VLOOKUP($A90,Questions!$A$2:$X$333,16,0)&amp;"",VLOOKUP($A90,Questions!$A$2:$X$333,15,0)&amp;"")))</f>
        <v>Based on the response to REQU-04 on the "START HERE" tab, this question does not apply to this product or service.</v>
      </c>
      <c r="F90" s="211" t="str">
        <f>VLOOKUP($A90,'Privacy Analyst Evaluation'!$A$46:$F$120,6,0)&amp;""</f>
        <v/>
      </c>
      <c r="H90" s="42"/>
    </row>
    <row r="91" spans="1:8" s="1" customFormat="1" ht="32.25" customHeight="1">
      <c r="A91" s="25" t="s">
        <v>1110</v>
      </c>
      <c r="B91" s="24" t="str">
        <f>VLOOKUP($A91,Questions!$A$2:$X$333,2,0)</f>
        <v>Is any institutional data retained in AI processing?*</v>
      </c>
      <c r="C91" s="27"/>
      <c r="D91" s="345"/>
      <c r="E91" s="28" t="str">
        <f>IF($C$19="No",'Auto Responses'!$A$6,IF($C91="Yes",VLOOKUP($A91,Questions!$A$2:$X$333,17,0)&amp;"",IF($C91="No",VLOOKUP($A91,Questions!$A$2:$X$333,16,0)&amp;"",IF($C91="N/A",VLOOKUP($A91,Questions!$A$2:$X$333,18,0)&amp;"",VLOOKUP($A91,Questions!$A$2:$X$333,15,0)&amp;""))))</f>
        <v>Based on the response to REQU-04 on the "START HERE" tab, this question does not apply to this product or service.</v>
      </c>
      <c r="F91" s="211" t="str">
        <f>VLOOKUP($A91,'Privacy Analyst Evaluation'!$A$46:$F$120,6,0)&amp;""</f>
        <v/>
      </c>
      <c r="H91" s="42"/>
    </row>
    <row r="92" spans="1:8" s="1" customFormat="1" ht="55.5" customHeight="1">
      <c r="A92" s="25" t="s">
        <v>808</v>
      </c>
      <c r="B92" s="24" t="str">
        <f>VLOOKUP($A92,Questions!$A$2:$X$333,2,0)</f>
        <v>Do you have agreements in place with third parties or subprocessors regarding the protection of customer data and use of AI?*</v>
      </c>
      <c r="C92" s="27"/>
      <c r="D92" s="345"/>
      <c r="E92" s="28" t="str">
        <f>IF($C$19="No",'Auto Responses'!$A$6,IF($C92="Yes",VLOOKUP($A92,Questions!$A$2:$X$333,17,0)&amp;"",IF($C92="No",VLOOKUP($A92,Questions!$A$2:$X$333,16,0)&amp;"",IF($C92="N/A",VLOOKUP($A92,Questions!$A$2:$X$333,18,0)&amp;"",VLOOKUP($A92,Questions!$A$2:$X$333,15,0)&amp;""))))</f>
        <v>Based on the response to REQU-04 on the "START HERE" tab, this question does not apply to this product or service.</v>
      </c>
      <c r="F92" s="211" t="str">
        <f>VLOOKUP($A92,'Privacy Analyst Evaluation'!$A$46:$F$120,6,0)&amp;""</f>
        <v/>
      </c>
      <c r="H92" s="42"/>
    </row>
    <row r="93" spans="1:8" s="1" customFormat="1" ht="32.25" customHeight="1">
      <c r="A93" s="25" t="s">
        <v>810</v>
      </c>
      <c r="B93" s="24" t="str">
        <f>VLOOKUP($A93,Questions!$A$2:$X$333,2,0)</f>
        <v>Will institutional data be processed through a third party or subprocessor that also uses AI?</v>
      </c>
      <c r="C93" s="27"/>
      <c r="D93" s="345"/>
      <c r="E93" s="28" t="str">
        <f>IF($C$19="No",'Auto Responses'!$A$6,IF($C93="Yes",VLOOKUP($A93,Questions!$A$2:$X$333,17,0)&amp;"",IF($C93="No",VLOOKUP($A93,Questions!$A$2:$X$333,16,0)&amp;"",VLOOKUP($A93,Questions!$A$2:$X$333,15,0)&amp;"")))</f>
        <v>Based on the response to REQU-04 on the "START HERE" tab, this question does not apply to this product or service.</v>
      </c>
      <c r="F93" s="211" t="str">
        <f>VLOOKUP($A93,'Privacy Analyst Evaluation'!$A$46:$F$120,6,0)&amp;""</f>
        <v/>
      </c>
      <c r="H93" s="42"/>
    </row>
    <row r="94" spans="1:8" s="1" customFormat="1" ht="32.25" customHeight="1">
      <c r="A94" s="25" t="s">
        <v>811</v>
      </c>
      <c r="B94" s="24" t="str">
        <f>VLOOKUP($A94,Questions!$A$2:$X$333,2,0)</f>
        <v>Is AI processing limited to fully licensed commercial enterprise AI services?</v>
      </c>
      <c r="C94" s="27"/>
      <c r="D94" s="345"/>
      <c r="E94" s="28" t="str">
        <f>IF($C$19="No",'Auto Responses'!$A$6,IF($C94="Yes",VLOOKUP($A94,Questions!$A$2:$X$333,17,0)&amp;"",IF($C94="No",VLOOKUP($A94,Questions!$A$2:$X$333,16,0)&amp;"",IF($C94="N/A",VLOOKUP($A94,Questions!$A$2:$X$333,18,0)&amp;"",VLOOKUP($A94,Questions!$A$2:$X$333,15,0)&amp;""))))</f>
        <v>Based on the response to REQU-04 on the "START HERE" tab, this question does not apply to this product or service.</v>
      </c>
      <c r="F94" s="211" t="str">
        <f>VLOOKUP($A94,'Privacy Analyst Evaluation'!$A$46:$F$120,6,0)&amp;""</f>
        <v/>
      </c>
      <c r="H94" s="42"/>
    </row>
    <row r="95" spans="1:8" s="1" customFormat="1" ht="32.25" customHeight="1">
      <c r="A95" s="25" t="s">
        <v>813</v>
      </c>
      <c r="B95" s="24" t="str">
        <f>VLOOKUP($A95,Questions!$A$2:$X$333,2,0)</f>
        <v>Will institutional data be used or processed by any shared AI services?</v>
      </c>
      <c r="C95" s="27"/>
      <c r="D95" s="345"/>
      <c r="E95" s="28" t="str">
        <f>IF($C$19="No",'Auto Responses'!$A$6,IF($C95="Yes",VLOOKUP($A95,Questions!$A$2:$X$333,17,0)&amp;"",IF($C95="No",VLOOKUP($A95,Questions!$A$2:$X$333,16,0)&amp;"",VLOOKUP($A95,Questions!$A$2:$X$333,15,0)&amp;"")))</f>
        <v>Based on the response to REQU-04 on the "START HERE" tab, this question does not apply to this product or service.</v>
      </c>
      <c r="F95" s="211" t="str">
        <f>VLOOKUP($A95,'Privacy Analyst Evaluation'!$A$46:$F$120,6,0)&amp;""</f>
        <v/>
      </c>
      <c r="H95" s="42"/>
    </row>
    <row r="96" spans="1:8" s="1" customFormat="1" ht="32.25" customHeight="1">
      <c r="A96" s="25" t="s">
        <v>814</v>
      </c>
      <c r="B96" s="24" t="str">
        <f>VLOOKUP($A96,Questions!$A$2:$X$333,2,0)</f>
        <v>Do you have safeguards in place to protect institutional data and data privacy from unintended AI queries or processing?</v>
      </c>
      <c r="C96" s="27"/>
      <c r="D96" s="345"/>
      <c r="E96" s="28" t="str">
        <f>IF($C$19="No",'Auto Responses'!$A$6,IF($C96="Yes",VLOOKUP($A96,Questions!$A$2:$X$333,17,0)&amp;"",IF($C96="No",VLOOKUP($A96,Questions!$A$2:$X$333,16,0)&amp;"",VLOOKUP($A96,Questions!$A$2:$X$333,15,0)&amp;"")))</f>
        <v>Based on the response to REQU-04 on the "START HERE" tab, this question does not apply to this product or service.</v>
      </c>
      <c r="F96" s="211" t="str">
        <f>VLOOKUP($A96,'Privacy Analyst Evaluation'!$A$46:$F$120,6,0)&amp;""</f>
        <v/>
      </c>
      <c r="H96" s="42"/>
    </row>
    <row r="97" spans="1:11" s="1" customFormat="1" ht="55.5" customHeight="1">
      <c r="A97" s="25" t="s">
        <v>815</v>
      </c>
      <c r="B97" s="24" t="str">
        <f>VLOOKUP($A97,Questions!$A$2:$X$333,2,0)</f>
        <v>Do you provide choice to the user to opt out of AI use?</v>
      </c>
      <c r="C97" s="27"/>
      <c r="D97" s="345"/>
      <c r="E97" s="28" t="str">
        <f>IF($C$19="No",'Auto Responses'!$A$6,IF($C97="Yes",VLOOKUP($A97,Questions!$A$2:$X$333,17,0)&amp;"",IF($C97="No",VLOOKUP($A97,Questions!$A$2:$X$333,16,0)&amp;"",IF($C97="N/A",VLOOKUP($A97,Questions!$A$2:$X$333,18,0)&amp;"",VLOOKUP($A97,Questions!$A$2:$X$333,15,0)&amp;""))))</f>
        <v>Based on the response to REQU-04 on the "START HERE" tab, this question does not apply to this product or service.</v>
      </c>
      <c r="F97" s="211" t="str">
        <f>VLOOKUP($A97,'Privacy Analyst Evaluation'!$A$46:$F$120,6,0)&amp;""</f>
        <v/>
      </c>
      <c r="G97" s="255" t="s">
        <v>1531</v>
      </c>
      <c r="H97" s="42"/>
    </row>
    <row r="98" spans="1:11" s="1" customFormat="1" ht="44.25" customHeight="1">
      <c r="A98" s="285" t="s">
        <v>1593</v>
      </c>
      <c r="C98" s="14"/>
      <c r="D98" s="15"/>
      <c r="E98" s="47"/>
      <c r="F98" s="203"/>
      <c r="H98" s="42"/>
    </row>
    <row r="99" spans="1:11" s="1" customFormat="1" ht="15" hidden="1" customHeight="1">
      <c r="A99"/>
      <c r="C99" s="14"/>
      <c r="D99" s="15"/>
      <c r="E99" s="47"/>
      <c r="F99" s="203"/>
      <c r="H99" s="42"/>
    </row>
    <row r="100" spans="1:11" ht="15" hidden="1" customHeight="1">
      <c r="A100" s="1"/>
      <c r="B100" s="14"/>
      <c r="C100" s="78"/>
      <c r="D100" s="16"/>
      <c r="E100" s="48"/>
      <c r="G100" s="42"/>
      <c r="H100" s="1"/>
      <c r="K100"/>
    </row>
    <row r="101" spans="1:11" ht="0" hidden="1" customHeight="1">
      <c r="A101" s="25" t="e">
        <f>#REF!</f>
        <v>#REF!</v>
      </c>
    </row>
    <row r="102" spans="1:11" s="1" customFormat="1" ht="0" hidden="1" customHeight="1">
      <c r="A102" s="25" t="e">
        <f>#REF!</f>
        <v>#REF!</v>
      </c>
      <c r="C102" s="14"/>
      <c r="D102" s="15"/>
      <c r="E102" s="47"/>
      <c r="F102" s="203"/>
      <c r="H102" s="42"/>
    </row>
    <row r="103" spans="1:11" s="1" customFormat="1" ht="0" hidden="1" customHeight="1">
      <c r="A103" s="25" t="e">
        <f>#REF!</f>
        <v>#REF!</v>
      </c>
      <c r="C103" s="14"/>
      <c r="D103" s="15"/>
      <c r="E103" s="47"/>
      <c r="F103" s="203"/>
      <c r="H103" s="42"/>
    </row>
    <row r="104" spans="1:11" s="1" customFormat="1" ht="0" hidden="1" customHeight="1">
      <c r="A104" s="25" t="e">
        <f>#REF!</f>
        <v>#REF!</v>
      </c>
      <c r="C104" s="14"/>
      <c r="D104" s="15"/>
      <c r="E104" s="47"/>
      <c r="F104" s="203"/>
      <c r="H104" s="42"/>
    </row>
    <row r="105" spans="1:11" s="1" customFormat="1" ht="0" hidden="1" customHeight="1">
      <c r="A105" s="25" t="e">
        <f>#REF!</f>
        <v>#REF!</v>
      </c>
      <c r="C105" s="14"/>
      <c r="D105" s="15"/>
      <c r="E105" s="47"/>
      <c r="F105" s="203"/>
      <c r="H105" s="42"/>
    </row>
    <row r="106" spans="1:11" s="1" customFormat="1" ht="0" hidden="1" customHeight="1">
      <c r="A106" s="25" t="e">
        <f>#REF!</f>
        <v>#REF!</v>
      </c>
      <c r="C106" s="14"/>
      <c r="D106" s="15"/>
      <c r="E106" s="47"/>
      <c r="F106" s="203"/>
      <c r="H106" s="42"/>
    </row>
    <row r="107" spans="1:11" s="1" customFormat="1" ht="0" hidden="1" customHeight="1">
      <c r="A107" s="25" t="e">
        <f>#REF!</f>
        <v>#REF!</v>
      </c>
      <c r="C107" s="14"/>
      <c r="D107" s="15"/>
      <c r="E107" s="47"/>
      <c r="F107" s="203"/>
      <c r="H107" s="42"/>
    </row>
    <row r="108" spans="1:11" s="1" customFormat="1" ht="0" hidden="1" customHeight="1">
      <c r="A108"/>
      <c r="C108" s="14"/>
      <c r="D108" s="15"/>
      <c r="E108" s="47"/>
      <c r="F108" s="203"/>
      <c r="H108" s="42"/>
    </row>
    <row r="109" spans="1:11" s="1" customFormat="1" ht="0" hidden="1" customHeight="1">
      <c r="A109"/>
      <c r="C109" s="14"/>
      <c r="D109" s="15"/>
      <c r="E109" s="47"/>
      <c r="F109" s="203"/>
      <c r="H109" s="42"/>
    </row>
    <row r="110" spans="1:11" s="1" customFormat="1" ht="0" hidden="1" customHeight="1">
      <c r="A110"/>
      <c r="C110" s="14"/>
      <c r="D110" s="15"/>
      <c r="E110" s="47"/>
      <c r="F110" s="203"/>
      <c r="H110" s="42"/>
    </row>
    <row r="111" spans="1:11" s="1" customFormat="1" ht="0" hidden="1" customHeight="1">
      <c r="A111"/>
      <c r="C111" s="14"/>
      <c r="D111" s="15"/>
      <c r="E111" s="47"/>
      <c r="F111" s="203"/>
      <c r="H111" s="42"/>
    </row>
    <row r="112" spans="1:11" s="1" customFormat="1" ht="0" hidden="1" customHeight="1">
      <c r="A112"/>
      <c r="C112" s="14"/>
      <c r="D112" s="15"/>
      <c r="E112" s="47"/>
      <c r="F112" s="203"/>
      <c r="H112" s="42"/>
    </row>
    <row r="113" spans="1:8" s="1" customFormat="1" ht="0" hidden="1" customHeight="1">
      <c r="A113"/>
      <c r="C113" s="14"/>
      <c r="D113" s="15"/>
      <c r="E113" s="47"/>
      <c r="F113" s="203"/>
      <c r="H113" s="42"/>
    </row>
    <row r="114" spans="1:8" s="1" customFormat="1" ht="0" hidden="1" customHeight="1">
      <c r="A114"/>
      <c r="C114" s="14"/>
      <c r="D114" s="15"/>
      <c r="E114" s="47"/>
      <c r="F114" s="203"/>
      <c r="H114" s="42"/>
    </row>
    <row r="115" spans="1:8" s="1" customFormat="1" ht="0" hidden="1" customHeight="1">
      <c r="A115"/>
      <c r="C115" s="14"/>
      <c r="D115" s="15"/>
      <c r="E115" s="47"/>
      <c r="F115" s="203"/>
      <c r="H115" s="42"/>
    </row>
    <row r="116" spans="1:8" s="1" customFormat="1" ht="0" hidden="1" customHeight="1">
      <c r="A116"/>
      <c r="C116" s="14"/>
      <c r="D116" s="15"/>
      <c r="E116" s="47"/>
      <c r="F116" s="203"/>
      <c r="H116" s="42"/>
    </row>
    <row r="117" spans="1:8" s="1" customFormat="1" ht="0" hidden="1" customHeight="1">
      <c r="A117"/>
      <c r="C117" s="14"/>
      <c r="D117" s="15"/>
      <c r="E117" s="47"/>
      <c r="F117" s="203"/>
      <c r="H117" s="42"/>
    </row>
  </sheetData>
  <phoneticPr fontId="32"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C36:C37 C90 C45:C52 C42:C43 C39:C40 C30 C32:C33 C95:C96 C93 C74:C75 C88 C61:C66 C54:C59</xm:sqref>
        </x14:dataValidation>
        <x14:dataValidation type="list" allowBlank="1" showInputMessage="1" showErrorMessage="1" xr:uid="{A7CD7EA2-4712-436A-ABAD-79A46B9B4A1C}">
          <x14:formula1>
            <xm:f>'Auto Responses'!$J$3:$J$5</xm:f>
          </x14:formula1>
          <xm:sqref>C35 C72 C91:C92 C94 C97 C76:C87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4"/>
  <sheetViews>
    <sheetView showGridLines="0" showZeros="0" topLeftCell="A253" zoomScale="75" zoomScaleNormal="75" workbookViewId="0">
      <selection activeCell="C17" sqref="C17"/>
    </sheetView>
  </sheetViews>
  <sheetFormatPr baseColWidth="10" defaultColWidth="0" defaultRowHeight="0" customHeight="1" zeroHeight="1"/>
  <cols>
    <col min="1" max="1" width="18.75" style="62" customWidth="1"/>
    <col min="2" max="2" width="57.625" style="62" customWidth="1"/>
    <col min="3" max="9" width="19.625" style="62" customWidth="1"/>
    <col min="10" max="10" width="18.75" style="62" customWidth="1"/>
    <col min="11" max="11" width="0.25" style="62" customWidth="1"/>
    <col min="12" max="12" width="8.5" style="62" customWidth="1"/>
    <col min="13" max="13" width="0" style="62" hidden="1" customWidth="1"/>
    <col min="14" max="16384" width="8.5" style="62" hidden="1"/>
  </cols>
  <sheetData>
    <row r="1" spans="1:10" ht="0" hidden="1" customHeight="1">
      <c r="A1" s="62" t="s">
        <v>1533</v>
      </c>
    </row>
    <row r="2" spans="1:10" ht="36" customHeight="1">
      <c r="A2" s="183" t="s">
        <v>1603</v>
      </c>
      <c r="B2" s="180"/>
      <c r="C2" s="180"/>
      <c r="D2" s="180"/>
      <c r="E2" s="180"/>
      <c r="F2" s="180"/>
      <c r="G2" s="180"/>
      <c r="H2" s="180"/>
      <c r="I2" s="213" t="str">
        <f>'Auto Responses'!$A$36</f>
        <v>Version 4.1.0</v>
      </c>
      <c r="J2" s="181"/>
    </row>
    <row r="3" spans="1:10" ht="25.5" customHeight="1">
      <c r="A3" s="105"/>
      <c r="B3" s="105"/>
      <c r="C3" s="105"/>
      <c r="D3" s="105"/>
      <c r="E3" s="105"/>
      <c r="F3" s="105"/>
      <c r="G3" s="105"/>
      <c r="H3" s="105"/>
      <c r="I3" s="105"/>
      <c r="J3" s="105"/>
    </row>
    <row r="4" spans="1:10" ht="36" customHeight="1">
      <c r="A4" s="106" t="s">
        <v>922</v>
      </c>
      <c r="B4" s="107"/>
      <c r="C4" s="107"/>
      <c r="D4" s="107"/>
      <c r="E4" s="107"/>
      <c r="F4" s="107"/>
      <c r="G4" s="107"/>
      <c r="H4" s="107"/>
      <c r="I4" s="107"/>
      <c r="J4" s="107"/>
    </row>
    <row r="5" spans="1:10" s="289" customFormat="1" ht="19.5" customHeight="1">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89" customFormat="1" ht="19.5" customHeight="1">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89" customFormat="1" ht="19.5" customHeight="1">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89" customFormat="1" ht="19.5" customHeight="1">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89" customFormat="1" ht="19.5" customHeight="1">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c r="A10" s="270" t="str">
        <f>HLOOKUP($A$4,'Auto Responses'!$F$2:$F$8,7,0)&amp;""</f>
        <v>For full instructions, please visit EDUCAUSE.edu/HECVAT</v>
      </c>
      <c r="B10" s="68"/>
      <c r="C10" s="68"/>
      <c r="D10" s="68"/>
      <c r="E10" s="68"/>
      <c r="F10" s="68"/>
      <c r="G10" s="68"/>
      <c r="H10" s="68"/>
      <c r="I10" s="68"/>
      <c r="J10" s="68"/>
    </row>
    <row r="11" spans="1:10" s="96" customFormat="1" ht="25.5" customHeight="1">
      <c r="A11" s="163" t="str">
        <f>'START HERE'!$B$13</f>
        <v>Solution Provider Name</v>
      </c>
      <c r="B11" s="149"/>
      <c r="C11" s="143" t="str">
        <f>VLOOKUP($A11,'START HERE'!$B$13:$C$21,2,0)&amp;""</f>
        <v>America's Software Corporation</v>
      </c>
      <c r="D11" s="144"/>
      <c r="E11" s="218"/>
      <c r="F11" s="221"/>
      <c r="G11" s="97"/>
      <c r="H11" s="102"/>
      <c r="I11" s="97"/>
      <c r="J11" s="97"/>
    </row>
    <row r="12" spans="1:10" s="96" customFormat="1" ht="25.5" customHeight="1">
      <c r="A12" s="164" t="str">
        <f>'START HERE'!$B$16</f>
        <v>Solution Provider Contact Name</v>
      </c>
      <c r="B12" s="150"/>
      <c r="C12" s="142" t="str">
        <f>VLOOKUP($A12,'START HERE'!$B$13:$C$21,2,0)&amp;""</f>
        <v>Connie Harper</v>
      </c>
      <c r="D12" s="104"/>
      <c r="E12" s="219"/>
      <c r="F12" s="221"/>
      <c r="G12" s="97"/>
      <c r="H12" s="102"/>
      <c r="I12" s="97"/>
      <c r="J12" s="97"/>
    </row>
    <row r="13" spans="1:10" s="96" customFormat="1" ht="25.5" customHeight="1">
      <c r="A13" s="164" t="str">
        <f>'START HERE'!$B$17</f>
        <v>Solution Provider Contact Title</v>
      </c>
      <c r="B13" s="150"/>
      <c r="C13" s="142" t="str">
        <f>VLOOKUP($A13,'START HERE'!$B$13:$C$21,2,0)&amp;""</f>
        <v>President</v>
      </c>
      <c r="D13" s="104"/>
      <c r="E13" s="219"/>
      <c r="F13" s="221"/>
      <c r="G13" s="97"/>
      <c r="H13" s="102"/>
      <c r="I13" s="97"/>
      <c r="J13" s="97"/>
    </row>
    <row r="14" spans="1:10" s="96" customFormat="1" ht="25.5" customHeight="1">
      <c r="A14" s="164" t="str">
        <f>'START HERE'!$B$18</f>
        <v>Solution Provider Contact Email</v>
      </c>
      <c r="B14" s="150"/>
      <c r="C14" s="142" t="str">
        <f>VLOOKUP($A14,'START HERE'!$B$13:$C$21,2,0)&amp;""</f>
        <v>taleval@icloud.com</v>
      </c>
      <c r="D14" s="104"/>
      <c r="E14" s="219"/>
      <c r="F14" s="222"/>
      <c r="G14" s="141"/>
      <c r="H14" s="141"/>
      <c r="I14" s="141"/>
      <c r="J14" s="141"/>
    </row>
    <row r="15" spans="1:10" s="96" customFormat="1" ht="25.5" customHeight="1">
      <c r="A15" s="164" t="str">
        <f>'START HERE'!$B$14</f>
        <v>Solution Name</v>
      </c>
      <c r="B15" s="150"/>
      <c r="C15" s="142" t="str">
        <f>VLOOKUP($A15,'START HERE'!$B$13:$C$21,2,0)&amp;""</f>
        <v>TalEval, Discovery Pro</v>
      </c>
      <c r="D15" s="104"/>
      <c r="E15" s="219"/>
      <c r="F15" s="222"/>
      <c r="G15" s="141"/>
      <c r="H15" s="141"/>
      <c r="I15" s="141"/>
      <c r="J15" s="141"/>
    </row>
    <row r="16" spans="1:10" s="96" customFormat="1" ht="25.5" customHeight="1">
      <c r="A16" s="164" t="str">
        <f>'START HERE'!$B$15</f>
        <v>Solution Description</v>
      </c>
      <c r="B16" s="150"/>
      <c r="C16" s="142" t="str">
        <f>VLOOKUP($A16,'START HERE'!$B$13:$C$21,2,0)&amp;""</f>
        <v>Dental Hygiene/COS Student  Tracking</v>
      </c>
      <c r="D16" s="104"/>
      <c r="E16" s="219"/>
      <c r="F16" s="222"/>
      <c r="G16" s="141"/>
      <c r="H16" s="141"/>
      <c r="I16" s="141"/>
      <c r="J16" s="141"/>
    </row>
    <row r="17" spans="1:11" s="96" customFormat="1" ht="25.5" customHeight="1" thickBot="1">
      <c r="A17" s="165" t="s">
        <v>1004</v>
      </c>
      <c r="B17" s="151"/>
      <c r="C17" s="361">
        <f>'START HERE'!$C$3</f>
        <v>46216</v>
      </c>
      <c r="D17" s="147"/>
      <c r="E17" s="220"/>
      <c r="F17" s="222"/>
      <c r="G17" s="141"/>
      <c r="H17" s="141"/>
      <c r="I17" s="141"/>
      <c r="J17" s="141"/>
    </row>
    <row r="18" spans="1:11" s="96" customFormat="1" ht="24.75" customHeight="1">
      <c r="A18" s="97"/>
      <c r="B18" s="97"/>
      <c r="C18" s="277"/>
      <c r="D18" s="103"/>
      <c r="E18" s="97"/>
      <c r="F18" s="97"/>
      <c r="G18" s="97"/>
      <c r="H18" s="98"/>
      <c r="I18" s="98"/>
      <c r="J18" s="98"/>
    </row>
    <row r="19" spans="1:11" s="94" customFormat="1" ht="24" customHeight="1" thickBot="1">
      <c r="A19" s="374"/>
      <c r="B19" s="374"/>
      <c r="C19" s="374"/>
      <c r="D19" s="95"/>
    </row>
    <row r="20" spans="1:11" ht="30" customHeight="1" thickBot="1">
      <c r="A20" s="290" t="s">
        <v>1596</v>
      </c>
      <c r="B20" s="90" t="s">
        <v>1003</v>
      </c>
      <c r="C20" s="117" t="s">
        <v>1597</v>
      </c>
      <c r="D20" s="89" t="s">
        <v>1598</v>
      </c>
      <c r="E20" s="116" t="s">
        <v>1002</v>
      </c>
      <c r="F20" s="116" t="s">
        <v>1001</v>
      </c>
      <c r="G20" s="132" t="s">
        <v>1023</v>
      </c>
      <c r="H20" s="133"/>
      <c r="I20" s="134"/>
    </row>
    <row r="21" spans="1:11" s="91" customFormat="1" ht="40.5" customHeight="1">
      <c r="B21" s="92" t="str">
        <f>VLOOKUP($K21,'Auto Responses'!$N$4:$O$38,2,0)&amp;""</f>
        <v xml:space="preserve"> Company Information</v>
      </c>
      <c r="C21" s="124" t="b">
        <v>1</v>
      </c>
      <c r="D21" s="118">
        <f>IF($C21=TRUE,SUMIF('(backend scoring)'!$B$3:$B$333,$K21,'(backend scoring)'!$O$3:$O$333),"")</f>
        <v>30</v>
      </c>
      <c r="E21" s="125">
        <f>IF($C21=TRUE,SUMIF('(backend scoring)'!$B$3:$B$333,$K21,'(backend scoring)'!$P$3:$P$333),"")</f>
        <v>25</v>
      </c>
      <c r="F21" s="153">
        <f t="shared" ref="F21:F39" si="0">IFERROR($E21/$D21,"N/A")</f>
        <v>0.83333333333333337</v>
      </c>
      <c r="G21" s="229" t="str">
        <f>"Jump to "&amp;B21</f>
        <v>Jump to  Company Information</v>
      </c>
      <c r="H21" s="127"/>
      <c r="I21" s="129"/>
      <c r="K21" s="91" t="s">
        <v>932</v>
      </c>
    </row>
    <row r="22" spans="1:11" s="91" customFormat="1" ht="40.5" customHeight="1">
      <c r="A22" s="283"/>
      <c r="B22" s="92" t="str">
        <f>VLOOKUP($K22,'Auto Responses'!$N$4:$O$38,2,0)&amp;""</f>
        <v xml:space="preserve"> Documentation</v>
      </c>
      <c r="C22" s="124" t="b">
        <v>1</v>
      </c>
      <c r="D22" s="118">
        <f>IF($C22=TRUE,SUMIF('(backend scoring)'!$B$3:$B$333,$K22,'(backend scoring)'!$O$3:$O$333),"")</f>
        <v>90</v>
      </c>
      <c r="E22" s="125">
        <f>IF($C22=TRUE,SUMIF('(backend scoring)'!$B$3:$B$333,$K22,'(backend scoring)'!$P$3:$P$333),"")</f>
        <v>80</v>
      </c>
      <c r="F22" s="152">
        <f t="shared" si="0"/>
        <v>0.88888888888888884</v>
      </c>
      <c r="G22" s="230" t="str">
        <f t="shared" ref="G22:G36" si="1">"Jump to "&amp;B22</f>
        <v>Jump to  Documentation</v>
      </c>
      <c r="H22" s="126"/>
      <c r="I22" s="130"/>
      <c r="K22" s="91" t="s">
        <v>936</v>
      </c>
    </row>
    <row r="23" spans="1:11" s="91" customFormat="1" ht="40.5" customHeight="1">
      <c r="A23" s="283"/>
      <c r="B23" s="92" t="str">
        <f>VLOOKUP($K23,'Auto Responses'!$N$4:$O$38,2,0)&amp;""</f>
        <v xml:space="preserve"> Assessment of Third Parties</v>
      </c>
      <c r="C23" s="124" t="b">
        <v>1</v>
      </c>
      <c r="D23" s="118">
        <f>IF($C23=TRUE,SUMIF('(backend scoring)'!$B$3:$B$333,$K23,'(backend scoring)'!$O$3:$O$333),"")</f>
        <v>90</v>
      </c>
      <c r="E23" s="125">
        <f>IF($C23=TRUE,SUMIF('(backend scoring)'!$B$3:$B$333,$K23,'(backend scoring)'!$P$3:$P$333),"")</f>
        <v>90</v>
      </c>
      <c r="F23" s="152">
        <f t="shared" si="0"/>
        <v>1</v>
      </c>
      <c r="G23" s="230" t="str">
        <f t="shared" si="1"/>
        <v>Jump to  Assessment of Third Parties</v>
      </c>
      <c r="H23" s="126"/>
      <c r="I23" s="130"/>
      <c r="K23" s="91" t="s">
        <v>940</v>
      </c>
    </row>
    <row r="24" spans="1:11" s="91" customFormat="1" ht="40.5" customHeight="1">
      <c r="B24" s="92" t="str">
        <f>VLOOKUP($K24,'Auto Responses'!$N$4:$O$38,2,0)&amp;""</f>
        <v xml:space="preserve"> Change Management</v>
      </c>
      <c r="C24" s="124" t="b">
        <v>1</v>
      </c>
      <c r="D24" s="118">
        <f>IF($C24=TRUE,SUMIF('(backend scoring)'!$B$3:$B$333,$K24,'(backend scoring)'!$O$3:$O$333),"")</f>
        <v>150</v>
      </c>
      <c r="E24" s="125">
        <f>IF($C24=TRUE,SUMIF('(backend scoring)'!$B$3:$B$333,$K24,'(backend scoring)'!$P$3:$P$333),"")</f>
        <v>150</v>
      </c>
      <c r="F24" s="152">
        <f t="shared" si="0"/>
        <v>1</v>
      </c>
      <c r="G24" s="230" t="str">
        <f t="shared" si="1"/>
        <v>Jump to  Change Management</v>
      </c>
      <c r="H24" s="126"/>
      <c r="I24" s="130"/>
      <c r="K24" s="91" t="s">
        <v>947</v>
      </c>
    </row>
    <row r="25" spans="1:11" s="91" customFormat="1" ht="40.5" customHeight="1">
      <c r="B25" s="92" t="str">
        <f>VLOOKUP($K25,'Auto Responses'!$N$4:$O$38,2,0)&amp;""</f>
        <v xml:space="preserve"> Policies, Processes, and Procedures</v>
      </c>
      <c r="C25" s="124" t="b">
        <v>1</v>
      </c>
      <c r="D25" s="118">
        <f>IF($C25=TRUE,SUMIF('(backend scoring)'!$B$3:$B$333,$K25,'(backend scoring)'!$O$3:$O$333),"")</f>
        <v>145</v>
      </c>
      <c r="E25" s="125">
        <f>IF($C25=TRUE,SUMIF('(backend scoring)'!$B$3:$B$333,$K25,'(backend scoring)'!$P$3:$P$333),"")</f>
        <v>135</v>
      </c>
      <c r="F25" s="152">
        <f t="shared" si="0"/>
        <v>0.93103448275862066</v>
      </c>
      <c r="G25" s="230" t="str">
        <f t="shared" si="1"/>
        <v>Jump to  Policies, Processes, and Procedures</v>
      </c>
      <c r="H25" s="126"/>
      <c r="I25" s="130"/>
      <c r="K25" s="91" t="s">
        <v>954</v>
      </c>
    </row>
    <row r="26" spans="1:11" s="91" customFormat="1" ht="40.5" customHeight="1">
      <c r="B26" s="92" t="str">
        <f>VLOOKUP($K26,'Auto Responses'!$N$4:$O$38,2,0)&amp;""</f>
        <v xml:space="preserve"> Authentication, Authorization, and Account Management</v>
      </c>
      <c r="C26" s="124" t="b">
        <v>1</v>
      </c>
      <c r="D26" s="118">
        <f>IF($C26=TRUE,SUMIF('(backend scoring)'!$B$3:$B$333,$K26,'(backend scoring)'!$O$3:$O$333),"")</f>
        <v>250</v>
      </c>
      <c r="E26" s="125">
        <f>IF($C26=TRUE,SUMIF('(backend scoring)'!$B$3:$B$333,$K26,'(backend scoring)'!$P$3:$P$333),"")</f>
        <v>150</v>
      </c>
      <c r="F26" s="152">
        <f t="shared" si="0"/>
        <v>0.6</v>
      </c>
      <c r="G26" s="230" t="str">
        <f t="shared" si="1"/>
        <v>Jump to  Authentication, Authorization, and Account Management</v>
      </c>
      <c r="H26" s="126"/>
      <c r="I26" s="130"/>
      <c r="K26" s="91" t="s">
        <v>946</v>
      </c>
    </row>
    <row r="27" spans="1:11" s="91" customFormat="1" ht="40.5" customHeight="1">
      <c r="B27" s="92" t="str">
        <f>VLOOKUP($K27,'Auto Responses'!$N$4:$O$38,2,0)&amp;""</f>
        <v xml:space="preserve"> Data</v>
      </c>
      <c r="C27" s="124" t="b">
        <v>1</v>
      </c>
      <c r="D27" s="118">
        <f>IF($C27=TRUE,SUMIF('(backend scoring)'!$B$3:$B$333,$K27,'(backend scoring)'!$O$3:$O$333),"")</f>
        <v>280</v>
      </c>
      <c r="E27" s="125">
        <f>IF($C27=TRUE,SUMIF('(backend scoring)'!$B$3:$B$333,$K27,'(backend scoring)'!$P$3:$P$333),"")</f>
        <v>270</v>
      </c>
      <c r="F27" s="152">
        <f t="shared" si="0"/>
        <v>0.9642857142857143</v>
      </c>
      <c r="G27" s="230" t="str">
        <f t="shared" si="1"/>
        <v>Jump to  Data</v>
      </c>
      <c r="H27" s="126"/>
      <c r="I27" s="130"/>
      <c r="K27" s="91" t="s">
        <v>949</v>
      </c>
    </row>
    <row r="28" spans="1:11" s="91" customFormat="1" ht="40.5" customHeight="1">
      <c r="B28" s="92" t="str">
        <f>VLOOKUP($K28,'Auto Responses'!$N$4:$O$38,2,0)&amp;""</f>
        <v xml:space="preserve"> Application/Service Security</v>
      </c>
      <c r="C28" s="124" t="b">
        <v>1</v>
      </c>
      <c r="D28" s="118">
        <f>IF($C28=TRUE,SUMIF('(backend scoring)'!$B$3:$B$333,$K28,'(backend scoring)'!$O$3:$O$333),"")</f>
        <v>195</v>
      </c>
      <c r="E28" s="125">
        <f>IF($C28=TRUE,SUMIF('(backend scoring)'!$B$3:$B$333,$K28,'(backend scoring)'!$P$3:$P$333),"")</f>
        <v>195</v>
      </c>
      <c r="F28" s="152">
        <f t="shared" si="0"/>
        <v>1</v>
      </c>
      <c r="G28" s="230" t="str">
        <f t="shared" si="1"/>
        <v>Jump to  Application/Service Security</v>
      </c>
      <c r="H28" s="126"/>
      <c r="I28" s="130"/>
      <c r="K28" s="91" t="s">
        <v>944</v>
      </c>
    </row>
    <row r="29" spans="1:11" s="91" customFormat="1" ht="40.5" customHeight="1">
      <c r="B29" s="92" t="str">
        <f>VLOOKUP($K29,'Auto Responses'!$N$4:$O$38,2,0)&amp;""</f>
        <v xml:space="preserve"> Datacenter</v>
      </c>
      <c r="C29" s="124" t="b">
        <v>1</v>
      </c>
      <c r="D29" s="118">
        <f>IF($C29=TRUE,SUMIF('(backend scoring)'!$B$3:$B$333,$K29,'(backend scoring)'!$O$3:$O$333),"")</f>
        <v>170</v>
      </c>
      <c r="E29" s="125">
        <f>IF($C29=TRUE,SUMIF('(backend scoring)'!$B$3:$B$333,$K29,'(backend scoring)'!$P$3:$P$333),"")</f>
        <v>150</v>
      </c>
      <c r="F29" s="152">
        <f t="shared" si="0"/>
        <v>0.88235294117647056</v>
      </c>
      <c r="G29" s="230" t="str">
        <f t="shared" si="1"/>
        <v>Jump to  Datacenter</v>
      </c>
      <c r="H29" s="126"/>
      <c r="I29" s="130"/>
      <c r="K29" s="91" t="s">
        <v>951</v>
      </c>
    </row>
    <row r="30" spans="1:11" s="91" customFormat="1" ht="40.5" customHeight="1">
      <c r="B30" s="92" t="str">
        <f>VLOOKUP($K30,'Auto Responses'!$N$4:$O$38,2,0)&amp;""</f>
        <v xml:space="preserve"> Firewalls, IDS, IPS, and Networking</v>
      </c>
      <c r="C30" s="124" t="b">
        <v>1</v>
      </c>
      <c r="D30" s="118">
        <f>IF($C30=TRUE,SUMIF('(backend scoring)'!$B$3:$B$333,$K30,'(backend scoring)'!$O$3:$O$333),"")</f>
        <v>145</v>
      </c>
      <c r="E30" s="125">
        <f>IF($C30=TRUE,SUMIF('(backend scoring)'!$B$3:$B$333,$K30,'(backend scoring)'!$P$3:$P$333),"")</f>
        <v>145</v>
      </c>
      <c r="F30" s="152">
        <f t="shared" si="0"/>
        <v>1</v>
      </c>
      <c r="G30" s="230" t="str">
        <f t="shared" si="1"/>
        <v>Jump to  Firewalls, IDS, IPS, and Networking</v>
      </c>
      <c r="H30" s="126"/>
      <c r="I30" s="130"/>
      <c r="K30" s="91" t="s">
        <v>953</v>
      </c>
    </row>
    <row r="31" spans="1:11" s="91" customFormat="1" ht="40.5" customHeight="1">
      <c r="B31" s="92" t="str">
        <f>VLOOKUP($K31,'Auto Responses'!$N$4:$O$38,2,0)&amp;""</f>
        <v xml:space="preserve"> Incident Handling</v>
      </c>
      <c r="C31" s="124" t="b">
        <v>1</v>
      </c>
      <c r="D31" s="118">
        <f>IF($C31=TRUE,SUMIF('(backend scoring)'!$B$3:$B$333,$K31,'(backend scoring)'!$O$3:$O$333),"")</f>
        <v>25</v>
      </c>
      <c r="E31" s="125">
        <f>IF($C31=TRUE,SUMIF('(backend scoring)'!$B$3:$B$333,$K31,'(backend scoring)'!$P$3:$P$333),"")</f>
        <v>20</v>
      </c>
      <c r="F31" s="152">
        <f t="shared" si="0"/>
        <v>0.8</v>
      </c>
      <c r="G31" s="230" t="str">
        <f t="shared" si="1"/>
        <v>Jump to  Incident Handling</v>
      </c>
      <c r="H31" s="126"/>
      <c r="I31" s="130"/>
      <c r="K31" s="91" t="s">
        <v>956</v>
      </c>
    </row>
    <row r="32" spans="1:11" s="91" customFormat="1" ht="40.5" customHeight="1">
      <c r="B32" s="92" t="str">
        <f>VLOOKUP($K32,'Auto Responses'!$N$4:$O$38,2,0)&amp;""</f>
        <v xml:space="preserve"> Vulnerability Management</v>
      </c>
      <c r="C32" s="124" t="b">
        <v>1</v>
      </c>
      <c r="D32" s="118">
        <f>IF($C32=TRUE,SUMIF('(backend scoring)'!$B$3:$B$333,$K32,'(backend scoring)'!$O$3:$O$333),"")</f>
        <v>85</v>
      </c>
      <c r="E32" s="125">
        <f>IF($C32=TRUE,SUMIF('(backend scoring)'!$B$3:$B$333,$K32,'(backend scoring)'!$P$3:$P$333),"")</f>
        <v>85</v>
      </c>
      <c r="F32" s="152">
        <f t="shared" si="0"/>
        <v>1</v>
      </c>
      <c r="G32" s="230" t="str">
        <f t="shared" si="1"/>
        <v>Jump to  Vulnerability Management</v>
      </c>
      <c r="H32" s="126"/>
      <c r="I32" s="130"/>
      <c r="K32" s="91" t="s">
        <v>958</v>
      </c>
    </row>
    <row r="33" spans="1:13" s="91" customFormat="1" ht="40.5" customHeight="1">
      <c r="B33" s="92" t="str">
        <f>VLOOKUP($K33,'Auto Responses'!$N$4:$O$38,2,0)&amp;""</f>
        <v xml:space="preserve"> Consulting Services</v>
      </c>
      <c r="C33" s="124" t="b">
        <v>1</v>
      </c>
      <c r="D33" s="118">
        <f>IF($C33=TRUE,SUMIF('(backend scoring)'!$B$3:$B$333,$K33,'(backend scoring)'!$O$3:$O$333),"")</f>
        <v>0</v>
      </c>
      <c r="E33" s="125">
        <f>IF($C33=TRUE,SUMIF('(backend scoring)'!$B$3:$B$333,$K33,'(backend scoring)'!$P$3:$P$333),"")</f>
        <v>0</v>
      </c>
      <c r="F33" s="152" t="str">
        <f t="shared" si="0"/>
        <v>N/A</v>
      </c>
      <c r="G33" s="230" t="str">
        <f t="shared" si="1"/>
        <v>Jump to  Consulting Services</v>
      </c>
      <c r="H33" s="126"/>
      <c r="I33" s="130"/>
      <c r="K33" s="91" t="s">
        <v>942</v>
      </c>
    </row>
    <row r="34" spans="1:13" s="91" customFormat="1" ht="40.5" customHeight="1">
      <c r="B34" s="92" t="str">
        <f>VLOOKUP($K34,'Auto Responses'!$N$4:$O$38,2,0)&amp;""</f>
        <v xml:space="preserve">HIPAA Compliance </v>
      </c>
      <c r="C34" s="124" t="b">
        <v>1</v>
      </c>
      <c r="D34" s="118">
        <f>IF($C34=TRUE,SUMIF('(backend scoring)'!$B$3:$B$333,$K34,'(backend scoring)'!$O$3:$O$333),"")</f>
        <v>0</v>
      </c>
      <c r="E34" s="125">
        <f>IF($C34=TRUE,SUMIF('(backend scoring)'!$B$3:$B$333,$K34,'(backend scoring)'!$P$3:$P$333),"")</f>
        <v>0</v>
      </c>
      <c r="F34" s="152" t="str">
        <f t="shared" si="0"/>
        <v>N/A</v>
      </c>
      <c r="G34" s="230" t="str">
        <f t="shared" si="1"/>
        <v xml:space="preserve">Jump to HIPAA Compliance </v>
      </c>
      <c r="H34" s="126"/>
      <c r="I34" s="130"/>
      <c r="K34" s="91" t="s">
        <v>960</v>
      </c>
    </row>
    <row r="35" spans="1:13" s="91" customFormat="1" ht="40.5" customHeight="1">
      <c r="B35" s="92" t="str">
        <f>VLOOKUP($K35,'Auto Responses'!$N$4:$O$38,2,0)&amp;""</f>
        <v xml:space="preserve"> Payment Card Industry Data Security Standard (PCI DSS)</v>
      </c>
      <c r="C35" s="124" t="b">
        <v>1</v>
      </c>
      <c r="D35" s="118">
        <f>IF($C35=TRUE,SUMIF('(backend scoring)'!$B$3:$B$333,$K35,'(backend scoring)'!$O$3:$O$333),"")</f>
        <v>0</v>
      </c>
      <c r="E35" s="125">
        <f>IF($C35=TRUE,SUMIF('(backend scoring)'!$B$3:$B$333,$K35,'(backend scoring)'!$P$3:$P$333),"")</f>
        <v>0</v>
      </c>
      <c r="F35" s="152" t="str">
        <f t="shared" si="0"/>
        <v>N/A</v>
      </c>
      <c r="G35" s="230" t="str">
        <f t="shared" si="1"/>
        <v>Jump to  Payment Card Industry Data Security Standard (PCI DSS)</v>
      </c>
      <c r="H35" s="126"/>
      <c r="I35" s="130"/>
      <c r="K35" s="91" t="s">
        <v>961</v>
      </c>
    </row>
    <row r="36" spans="1:13" s="91" customFormat="1" ht="40.5" customHeight="1">
      <c r="B36" s="92" t="str">
        <f>VLOOKUP($K36,'Auto Responses'!$N$4:$O$38,2,0)&amp;""</f>
        <v xml:space="preserve"> On-Premises Data Solutions</v>
      </c>
      <c r="C36" s="124" t="b">
        <v>1</v>
      </c>
      <c r="D36" s="118">
        <f>IF($C36=TRUE,SUMIF('(backend scoring)'!$B$3:$B$333,$K36,'(backend scoring)'!$O$3:$O$333),"")</f>
        <v>0</v>
      </c>
      <c r="E36" s="125">
        <f>IF($C36=TRUE,SUMIF('(backend scoring)'!$B$3:$B$333,$K36,'(backend scoring)'!$P$3:$P$333),"")</f>
        <v>0</v>
      </c>
      <c r="F36" s="152" t="str">
        <f t="shared" si="0"/>
        <v>N/A</v>
      </c>
      <c r="G36" s="230" t="str">
        <f t="shared" si="1"/>
        <v>Jump to  On-Premises Data Solutions</v>
      </c>
      <c r="H36" s="126"/>
      <c r="I36" s="130"/>
      <c r="K36" s="91" t="s">
        <v>962</v>
      </c>
    </row>
    <row r="37" spans="1:13" s="91" customFormat="1" ht="40.5" customHeight="1">
      <c r="B37" s="92" t="str">
        <f>VLOOKUP($K37,'Auto Responses'!$N$4:$O$38,2,0)&amp;""</f>
        <v xml:space="preserve"> IT Accessibility</v>
      </c>
      <c r="C37" s="124" t="b">
        <v>1</v>
      </c>
      <c r="D37" s="118">
        <f>IF($C37=TRUE,SUMIF('(backend scoring)'!$B$3:$B$333,$K37,'(backend scoring)'!$O$3:$O$333),"")</f>
        <v>170</v>
      </c>
      <c r="E37" s="125">
        <f>IF($C37=TRUE,SUMIF('(backend scoring)'!$B$3:$B$333,$K37,'(backend scoring)'!$P$3:$P$333),"")</f>
        <v>130</v>
      </c>
      <c r="F37" s="152">
        <f t="shared" si="0"/>
        <v>0.76470588235294112</v>
      </c>
      <c r="G37" s="230" t="str">
        <f t="shared" ref="G37" si="2">"Jump to "&amp;B37</f>
        <v>Jump to  IT Accessibility</v>
      </c>
      <c r="H37" s="126"/>
      <c r="I37" s="130"/>
      <c r="K37" s="91" t="s">
        <v>938</v>
      </c>
    </row>
    <row r="38" spans="1:13" s="91" customFormat="1" ht="40.5" customHeight="1">
      <c r="B38" s="92" t="s">
        <v>1111</v>
      </c>
      <c r="C38" s="124" t="b">
        <v>1</v>
      </c>
      <c r="D38" s="158">
        <f>IF($C38=TRUE,SUMIF('(backend scoring)'!$E$3:$E$333,"AI",'(backend scoring)'!$O$3:$O$333),"")</f>
        <v>0</v>
      </c>
      <c r="E38" s="158">
        <f>IF($C38=TRUE,SUMIF('(backend scoring)'!$E$3:$E$333,"AI",'(backend scoring)'!$P$3:$P$333),"")</f>
        <v>0</v>
      </c>
      <c r="F38" s="152" t="str">
        <f t="shared" si="0"/>
        <v>N/A</v>
      </c>
      <c r="G38" s="230" t="str">
        <f>"Jump to AI Questions"</f>
        <v>Jump to AI Questions</v>
      </c>
      <c r="H38" s="126"/>
      <c r="I38" s="130"/>
    </row>
    <row r="39" spans="1:13" s="91" customFormat="1" ht="40.5" customHeight="1" thickBot="1">
      <c r="B39" s="154" t="s">
        <v>1112</v>
      </c>
      <c r="C39" s="155" t="b">
        <v>1</v>
      </c>
      <c r="D39" s="156">
        <f>IF($C39=TRUE,SUMIF('(backend scoring)'!$E$3:$E$333,"Privacy",'(backend scoring)'!$O$3:$O$333),"")</f>
        <v>555</v>
      </c>
      <c r="E39" s="156">
        <f>IF($C39=TRUE,SUMIF('(backend scoring)'!$E$3:$E$333,"Privacy",'(backend scoring)'!$P$3:$P$333),"")</f>
        <v>385</v>
      </c>
      <c r="F39" s="157">
        <f t="shared" si="0"/>
        <v>0.69369369369369371</v>
      </c>
      <c r="G39" s="231" t="str">
        <f>"Jump to Privacy Scorecard"</f>
        <v>Jump to Privacy Scorecard</v>
      </c>
      <c r="H39" s="128"/>
      <c r="I39" s="131"/>
    </row>
    <row r="40" spans="1:13" s="91" customFormat="1" ht="30" customHeight="1" thickBot="1">
      <c r="B40" s="90" t="s">
        <v>1000</v>
      </c>
      <c r="C40" s="117"/>
      <c r="D40" s="119">
        <f>SUM(D21:D39)</f>
        <v>2380</v>
      </c>
      <c r="E40" s="119">
        <f>SUM(E21:E39)</f>
        <v>2010</v>
      </c>
      <c r="F40" s="88">
        <f>IFERROR(E40/D40,"N/A")</f>
        <v>0.84453781512605042</v>
      </c>
      <c r="G40" s="135"/>
      <c r="H40" s="136"/>
      <c r="I40" s="137"/>
      <c r="J40" s="255" t="s">
        <v>1531</v>
      </c>
    </row>
    <row r="41" spans="1:13" ht="17">
      <c r="F41" s="62" t="s">
        <v>999</v>
      </c>
    </row>
    <row r="42" spans="1:13" ht="16"/>
    <row r="43" spans="1:13" ht="15" customHeight="1"/>
    <row r="44" spans="1:13" s="30" customFormat="1" ht="36" customHeight="1">
      <c r="A44" s="182" t="s">
        <v>926</v>
      </c>
      <c r="B44" s="182"/>
      <c r="C44" s="186"/>
      <c r="D44" s="182"/>
      <c r="E44" s="182"/>
      <c r="F44" s="182"/>
      <c r="G44" s="182"/>
      <c r="H44" s="182"/>
      <c r="I44" s="182"/>
      <c r="J44" s="182"/>
      <c r="K44" s="182"/>
      <c r="L44" s="62"/>
      <c r="M44" s="1"/>
    </row>
    <row r="45" spans="1:13" s="30" customFormat="1" ht="36" customHeight="1">
      <c r="A45" s="31" t="s">
        <v>906</v>
      </c>
      <c r="B45" s="31"/>
      <c r="C45" s="76"/>
      <c r="D45" s="31"/>
      <c r="E45" s="31"/>
      <c r="F45" s="31"/>
      <c r="G45" s="31"/>
      <c r="H45" s="31"/>
      <c r="I45" s="31"/>
      <c r="J45" s="31"/>
      <c r="K45" s="31"/>
      <c r="L45" s="62"/>
      <c r="M45" s="1"/>
    </row>
    <row r="46" spans="1:13" s="1" customFormat="1" ht="36" customHeight="1">
      <c r="A46" s="17" t="s">
        <v>922</v>
      </c>
      <c r="B46" s="18"/>
      <c r="C46" s="19"/>
      <c r="D46" s="20"/>
      <c r="E46" s="20"/>
      <c r="F46" s="21"/>
      <c r="G46" s="21"/>
      <c r="H46" s="21"/>
      <c r="I46" s="21"/>
      <c r="J46" s="21"/>
      <c r="K46" s="21"/>
      <c r="L46" s="62"/>
    </row>
    <row r="47" spans="1:13" s="1" customFormat="1" ht="19.5" customHeight="1">
      <c r="A47" s="269" t="str">
        <f>HLOOKUP($A$4,'Auto Responses'!$F$2:$F$7,2,0)&amp;""</f>
        <v>1. Upon initial review, you can check the "Non-Negotiable" box by any question to compile a report of questions that may prohibit a full review.</v>
      </c>
      <c r="B47" s="68"/>
      <c r="C47" s="68"/>
      <c r="D47" s="68"/>
      <c r="E47" s="68"/>
      <c r="F47" s="68"/>
      <c r="G47" s="68"/>
      <c r="H47" s="68"/>
      <c r="I47" s="68"/>
      <c r="J47" s="68"/>
      <c r="K47" s="22"/>
      <c r="L47" s="62"/>
    </row>
    <row r="48" spans="1:13" s="1" customFormat="1" ht="19.5" customHeight="1">
      <c r="A48" s="269" t="str">
        <f>HLOOKUP($A$4,'Auto Responses'!$F$2:$F$7,3,0)&amp;""</f>
        <v>2. When evaluating an answer, a default importance level has been set. You can use the "Importance Override" dropdown to override the default and adjust the value of the question.</v>
      </c>
      <c r="B48" s="68"/>
      <c r="C48" s="68"/>
      <c r="D48" s="68"/>
      <c r="E48" s="68"/>
      <c r="F48" s="68"/>
      <c r="G48" s="68"/>
      <c r="H48" s="68"/>
      <c r="I48" s="68"/>
      <c r="J48" s="68"/>
      <c r="K48" s="22"/>
      <c r="L48" s="62"/>
    </row>
    <row r="49" spans="1:13" s="1" customFormat="1" ht="19.5" customHeight="1">
      <c r="A49" s="269" t="str">
        <f>HLOOKUP($A$4,'Auto Responses'!$F$2:$F$7,4,0)&amp;""</f>
        <v>3. For questions that are qualitative or for which you disagree with the preferred response, make a selection in the "Compliant Override" dropdown to adjust the question's impact on the score.</v>
      </c>
      <c r="B49" s="68"/>
      <c r="C49" s="68"/>
      <c r="D49" s="68"/>
      <c r="E49" s="68"/>
      <c r="F49" s="68"/>
      <c r="G49" s="68"/>
      <c r="H49" s="68"/>
      <c r="I49" s="68"/>
      <c r="J49" s="68"/>
      <c r="K49" s="22"/>
      <c r="L49" s="62"/>
    </row>
    <row r="50" spans="1:13" s="1" customFormat="1" ht="19.5" customHeight="1">
      <c r="A50" s="269" t="str">
        <f>HLOOKUP($A$4,'Auto Responses'!$F$2:$F$7,5,0)&amp;""</f>
        <v xml:space="preserve">4. Each worksheet shows a report for that section. See the "Analyst Report" sheet for a full report of all sections. </v>
      </c>
      <c r="B50" s="68"/>
      <c r="C50" s="68"/>
      <c r="D50" s="68"/>
      <c r="E50" s="68"/>
      <c r="F50" s="68"/>
      <c r="G50" s="68"/>
      <c r="H50" s="68"/>
      <c r="I50" s="68"/>
      <c r="J50" s="68"/>
      <c r="K50" s="22"/>
      <c r="L50" s="62"/>
    </row>
    <row r="51" spans="1:13" s="1" customFormat="1" ht="19.5" customHeight="1">
      <c r="A51" s="269" t="str">
        <f>HLOOKUP($A$4,'Auto Responses'!$F$2:$F$7,6,0)&amp;""</f>
        <v xml:space="preserve">5. If you are evaluating a question that appears in an earlier section, the Importance and Compliant Override cannot be changed but additional notes can be added. </v>
      </c>
      <c r="B51" s="68"/>
      <c r="C51" s="68"/>
      <c r="D51" s="68"/>
      <c r="E51" s="68"/>
      <c r="F51" s="68"/>
      <c r="G51" s="68"/>
      <c r="H51" s="68"/>
      <c r="I51" s="68"/>
      <c r="J51" s="68"/>
      <c r="K51" s="22"/>
      <c r="L51" s="62"/>
    </row>
    <row r="52" spans="1:13" s="1" customFormat="1" ht="19.5" customHeight="1" thickBot="1">
      <c r="A52" s="270" t="str">
        <f>HLOOKUP($A$4,'Auto Responses'!$F$2:$F$8,7,0)&amp;""</f>
        <v>For full instructions, please visit EDUCAUSE.edu/HECVAT</v>
      </c>
      <c r="B52" s="68"/>
      <c r="C52" s="68"/>
      <c r="D52" s="68"/>
      <c r="E52" s="68"/>
      <c r="F52" s="68"/>
      <c r="G52" s="68"/>
      <c r="H52" s="68"/>
      <c r="I52" s="68"/>
      <c r="J52" s="68"/>
      <c r="K52" s="22"/>
      <c r="L52" s="62"/>
    </row>
    <row r="53" spans="1:13" s="30" customFormat="1" ht="41.25" customHeight="1" thickBot="1">
      <c r="A53" s="32"/>
      <c r="B53" s="32"/>
      <c r="C53" s="77"/>
      <c r="D53" s="32"/>
      <c r="E53" s="32"/>
      <c r="F53" s="196" t="s">
        <v>905</v>
      </c>
      <c r="G53" s="189" t="s">
        <v>1093</v>
      </c>
      <c r="H53" s="190"/>
      <c r="I53" s="190"/>
      <c r="J53" s="190"/>
      <c r="K53" s="190"/>
      <c r="L53" s="62"/>
      <c r="M53" s="1"/>
    </row>
    <row r="54" spans="1:13" s="36" customFormat="1" ht="63" customHeight="1" thickBot="1">
      <c r="A54" s="33" t="s">
        <v>907</v>
      </c>
      <c r="B54" s="34" t="s">
        <v>1</v>
      </c>
      <c r="C54" s="34" t="s">
        <v>1583</v>
      </c>
      <c r="D54" s="35" t="s">
        <v>72</v>
      </c>
      <c r="E54" s="327" t="s">
        <v>904</v>
      </c>
      <c r="F54" s="197" t="s">
        <v>1550</v>
      </c>
      <c r="G54" s="53" t="s">
        <v>925</v>
      </c>
      <c r="H54" s="50" t="s">
        <v>927</v>
      </c>
      <c r="I54" s="50" t="s">
        <v>19</v>
      </c>
      <c r="J54" s="51" t="s">
        <v>912</v>
      </c>
      <c r="K54" s="54" t="s">
        <v>923</v>
      </c>
      <c r="L54" s="62"/>
      <c r="M54" s="1"/>
    </row>
    <row r="55" spans="1:13" s="1" customFormat="1" ht="18">
      <c r="A55" s="70" t="str">
        <f>VLOOKUP(LEFT($A56,4),'Auto Responses'!$N$4:$O$38,2,0)&amp;""</f>
        <v xml:space="preserve"> General Information</v>
      </c>
      <c r="B55" s="29"/>
      <c r="C55" s="38"/>
      <c r="D55" s="38"/>
      <c r="E55" s="349"/>
      <c r="F55" s="139" t="s">
        <v>1089</v>
      </c>
      <c r="G55" s="38"/>
      <c r="H55" s="38"/>
      <c r="I55" s="38"/>
      <c r="J55" s="38"/>
      <c r="K55" s="38"/>
      <c r="L55" s="62"/>
    </row>
    <row r="56" spans="1:13" s="36" customFormat="1" ht="17">
      <c r="A56" s="25" t="str">
        <f>'START HERE'!$A$13</f>
        <v>GNRL-01</v>
      </c>
      <c r="B56" s="26" t="str">
        <f>VLOOKUP($A56,'START HERE'!$A$13:$E$36,2,0)&amp;""</f>
        <v>Solution Provider Name</v>
      </c>
      <c r="C56" s="322" t="str">
        <f>VLOOKUP($A56,'START HERE'!$A$13:$E$36,3,0)&amp;""</f>
        <v>America's Software Corporation</v>
      </c>
      <c r="D56" s="325" t="str">
        <f>IF(LEFT(VLOOKUP($A56,'START HERE'!$A$13:$E$36,5,0),21)='Auto Responses'!$A$73,'Auto Responses'!$A$74,VLOOKUP($A56,'START HERE'!$A$13:$E$36,4,0))&amp;""</f>
        <v/>
      </c>
      <c r="E56" s="348" t="str">
        <f>VLOOKUP($A56,'START HERE'!$A$13:$E$36,5,0)&amp;""</f>
        <v/>
      </c>
      <c r="F56" s="199"/>
      <c r="G56" s="37" t="str">
        <f>VLOOKUP($A56,Questions!$A$2:$X$333,21,0)&amp;""</f>
        <v>Not scored</v>
      </c>
      <c r="H56" s="192"/>
      <c r="I56" s="52" t="str">
        <f>VLOOKUP($A56,Questions!$A$2:$X$333,23,0)&amp;""</f>
        <v/>
      </c>
      <c r="J56" s="192"/>
      <c r="K56" s="82"/>
      <c r="L56" s="62"/>
      <c r="M56" s="1"/>
    </row>
    <row r="57" spans="1:13" s="36" customFormat="1" ht="17">
      <c r="A57" s="25" t="str">
        <f>'START HERE'!$A$14</f>
        <v>GNRL-02</v>
      </c>
      <c r="B57" s="26" t="str">
        <f>VLOOKUP($A57,'START HERE'!$A$13:$E$36,2,0)&amp;""</f>
        <v>Solution Name</v>
      </c>
      <c r="C57" s="322" t="str">
        <f>VLOOKUP($A57,'START HERE'!$A$13:$E$36,3,0)&amp;""</f>
        <v>TalEval, Discovery Pro</v>
      </c>
      <c r="D57" s="325" t="str">
        <f>IF(LEFT(VLOOKUP($A57,'START HERE'!$A$13:$E$36,5,0),21)='Auto Responses'!$A$73,'Auto Responses'!$A$74,VLOOKUP($A57,'START HERE'!$A$13:$E$36,4,0))&amp;""</f>
        <v/>
      </c>
      <c r="E57" s="348" t="str">
        <f>VLOOKUP($A57,'START HERE'!$A$13:$E$36,5,0)&amp;""</f>
        <v/>
      </c>
      <c r="F57" s="199"/>
      <c r="G57" s="37" t="str">
        <f>VLOOKUP($A57,Questions!$A$2:$X$333,21,0)&amp;""</f>
        <v>Not scored</v>
      </c>
      <c r="H57" s="192"/>
      <c r="I57" s="52" t="str">
        <f>VLOOKUP($A57,Questions!$A$2:$X$333,23,0)&amp;""</f>
        <v/>
      </c>
      <c r="J57" s="192"/>
      <c r="K57" s="82"/>
      <c r="L57" s="62"/>
      <c r="M57" s="1"/>
    </row>
    <row r="58" spans="1:13" s="36" customFormat="1" ht="17">
      <c r="A58" s="25" t="str">
        <f>'START HERE'!$A$15</f>
        <v>GNRL-03</v>
      </c>
      <c r="B58" s="26" t="str">
        <f>VLOOKUP($A58,'START HERE'!$A$13:$E$36,2,0)&amp;""</f>
        <v>Solution Description</v>
      </c>
      <c r="C58" s="322" t="str">
        <f>VLOOKUP($A58,'START HERE'!$A$13:$E$36,3,0)&amp;""</f>
        <v>Dental Hygiene/COS Student  Tracking</v>
      </c>
      <c r="D58" s="325" t="str">
        <f>IF(LEFT(VLOOKUP($A58,'START HERE'!$A$13:$E$36,5,0),21)='Auto Responses'!$A$73,'Auto Responses'!$A$74,VLOOKUP($A58,'START HERE'!$A$13:$E$36,4,0))&amp;""</f>
        <v/>
      </c>
      <c r="E58" s="348" t="str">
        <f>VLOOKUP($A58,'START HERE'!$A$13:$E$36,5,0)&amp;""</f>
        <v/>
      </c>
      <c r="F58" s="199"/>
      <c r="G58" s="37" t="str">
        <f>VLOOKUP($A58,Questions!$A$2:$X$333,21,0)&amp;""</f>
        <v>Not scored</v>
      </c>
      <c r="H58" s="192"/>
      <c r="I58" s="52" t="str">
        <f>VLOOKUP($A58,Questions!$A$2:$X$333,23,0)&amp;""</f>
        <v/>
      </c>
      <c r="J58" s="192"/>
      <c r="K58" s="82"/>
      <c r="L58" s="62"/>
      <c r="M58" s="1"/>
    </row>
    <row r="59" spans="1:13" s="36" customFormat="1" ht="17">
      <c r="A59" s="25" t="str">
        <f>'START HERE'!$A$16</f>
        <v>GNRL-04</v>
      </c>
      <c r="B59" s="26" t="str">
        <f>VLOOKUP($A59,'START HERE'!$A$13:$E$36,2,0)&amp;""</f>
        <v>Solution Provider Contact Name</v>
      </c>
      <c r="C59" s="322" t="str">
        <f>VLOOKUP($A59,'START HERE'!$A$13:$E$36,3,0)&amp;""</f>
        <v>Connie Harper</v>
      </c>
      <c r="D59" s="325" t="str">
        <f>IF(LEFT(VLOOKUP($A59,'START HERE'!$A$13:$E$36,5,0),21)='Auto Responses'!$A$73,'Auto Responses'!$A$74,VLOOKUP($A59,'START HERE'!$A$13:$E$36,4,0))&amp;""</f>
        <v/>
      </c>
      <c r="E59" s="348" t="str">
        <f>VLOOKUP($A59,'START HERE'!$A$13:$E$36,5,0)&amp;""</f>
        <v/>
      </c>
      <c r="F59" s="199"/>
      <c r="G59" s="37" t="str">
        <f>VLOOKUP($A59,Questions!$A$2:$X$333,21,0)&amp;""</f>
        <v>Not scored</v>
      </c>
      <c r="H59" s="192"/>
      <c r="I59" s="52" t="str">
        <f>VLOOKUP($A59,Questions!$A$2:$X$333,23,0)&amp;""</f>
        <v/>
      </c>
      <c r="J59" s="192"/>
      <c r="K59" s="82"/>
      <c r="L59" s="62"/>
      <c r="M59" s="1"/>
    </row>
    <row r="60" spans="1:13" s="36" customFormat="1" ht="17">
      <c r="A60" s="25" t="str">
        <f>'START HERE'!$A$17</f>
        <v>GNRL-05</v>
      </c>
      <c r="B60" s="26" t="str">
        <f>VLOOKUP($A60,'START HERE'!$A$13:$E$36,2,0)&amp;""</f>
        <v>Solution Provider Contact Title</v>
      </c>
      <c r="C60" s="322" t="str">
        <f>VLOOKUP($A60,'START HERE'!$A$13:$E$36,3,0)&amp;""</f>
        <v>President</v>
      </c>
      <c r="D60" s="325" t="str">
        <f>IF(LEFT(VLOOKUP($A60,'START HERE'!$A$13:$E$36,5,0),21)='Auto Responses'!$A$73,'Auto Responses'!$A$74,VLOOKUP($A60,'START HERE'!$A$13:$E$36,4,0))&amp;""</f>
        <v/>
      </c>
      <c r="E60" s="348" t="str">
        <f>VLOOKUP($A60,'START HERE'!$A$13:$E$36,5,0)&amp;""</f>
        <v/>
      </c>
      <c r="F60" s="199"/>
      <c r="G60" s="37" t="str">
        <f>VLOOKUP($A60,Questions!$A$2:$X$333,21,0)&amp;""</f>
        <v>Not scored</v>
      </c>
      <c r="H60" s="192"/>
      <c r="I60" s="52" t="str">
        <f>VLOOKUP($A60,Questions!$A$2:$X$333,23,0)&amp;""</f>
        <v/>
      </c>
      <c r="J60" s="192"/>
      <c r="K60" s="82"/>
      <c r="L60" s="62"/>
      <c r="M60" s="1"/>
    </row>
    <row r="61" spans="1:13" s="36" customFormat="1" ht="17">
      <c r="A61" s="25" t="str">
        <f>'START HERE'!$A$18</f>
        <v>GNRL-06</v>
      </c>
      <c r="B61" s="26" t="str">
        <f>VLOOKUP($A61,'START HERE'!$A$13:$E$36,2,0)&amp;""</f>
        <v>Solution Provider Contact Email</v>
      </c>
      <c r="C61" s="322" t="str">
        <f>VLOOKUP($A61,'START HERE'!$A$13:$E$36,3,0)&amp;""</f>
        <v>taleval@icloud.com</v>
      </c>
      <c r="D61" s="325" t="str">
        <f>IF(LEFT(VLOOKUP($A61,'START HERE'!$A$13:$E$36,5,0),21)='Auto Responses'!$A$73,'Auto Responses'!$A$74,VLOOKUP($A61,'START HERE'!$A$13:$E$36,4,0))&amp;""</f>
        <v/>
      </c>
      <c r="E61" s="348" t="str">
        <f>VLOOKUP($A61,'START HERE'!$A$13:$E$36,5,0)&amp;""</f>
        <v/>
      </c>
      <c r="F61" s="199"/>
      <c r="G61" s="37" t="str">
        <f>VLOOKUP($A61,Questions!$A$2:$X$333,21,0)&amp;""</f>
        <v>Not scored</v>
      </c>
      <c r="H61" s="192"/>
      <c r="I61" s="52" t="str">
        <f>VLOOKUP($A61,Questions!$A$2:$X$333,23,0)&amp;""</f>
        <v/>
      </c>
      <c r="J61" s="192"/>
      <c r="K61" s="82"/>
      <c r="L61" s="62"/>
      <c r="M61" s="1"/>
    </row>
    <row r="62" spans="1:13" s="36" customFormat="1" ht="17">
      <c r="A62" s="25" t="str">
        <f>'START HERE'!$A$19</f>
        <v>GNRL-07</v>
      </c>
      <c r="B62" s="26" t="str">
        <f>VLOOKUP($A62,'START HERE'!$A$13:$E$36,2,0)&amp;""</f>
        <v>Solution Provider Contact Phone Number</v>
      </c>
      <c r="C62" s="322" t="str">
        <f>VLOOKUP($A62,'START HERE'!$A$13:$E$36,3,0)&amp;""</f>
        <v>800-467-1170</v>
      </c>
      <c r="D62" s="325" t="str">
        <f>IF(LEFT(VLOOKUP($A62,'START HERE'!$A$13:$E$36,5,0),21)='Auto Responses'!$A$73,'Auto Responses'!$A$74,VLOOKUP($A62,'START HERE'!$A$13:$E$36,4,0))&amp;""</f>
        <v/>
      </c>
      <c r="E62" s="348" t="str">
        <f>VLOOKUP($A62,'START HERE'!$A$13:$E$36,5,0)&amp;""</f>
        <v/>
      </c>
      <c r="F62" s="199"/>
      <c r="G62" s="37" t="str">
        <f>VLOOKUP($A62,Questions!$A$2:$X$333,21,0)&amp;""</f>
        <v>Not scored</v>
      </c>
      <c r="H62" s="192"/>
      <c r="I62" s="52" t="str">
        <f>VLOOKUP($A62,Questions!$A$2:$X$333,23,0)&amp;""</f>
        <v/>
      </c>
      <c r="J62" s="192"/>
      <c r="K62" s="82"/>
      <c r="L62" s="62"/>
      <c r="M62" s="1"/>
    </row>
    <row r="63" spans="1:13" s="36" customFormat="1" ht="17">
      <c r="A63" s="25" t="str">
        <f>'START HERE'!$A$20</f>
        <v>GNRL-08</v>
      </c>
      <c r="B63" s="26" t="str">
        <f>VLOOKUP($A63,'START HERE'!$A$13:$E$36,2,0)&amp;""</f>
        <v>Country of Company Headquarters</v>
      </c>
      <c r="C63" s="322" t="str">
        <f>VLOOKUP($A63,'START HERE'!$A$13:$E$36,3,0)&amp;""</f>
        <v>USA</v>
      </c>
      <c r="D63" s="325" t="str">
        <f>IF(LEFT(VLOOKUP($A63,'START HERE'!$A$13:$E$36,5,0),21)='Auto Responses'!$A$73,'Auto Responses'!$A$74,VLOOKUP($A63,'START HERE'!$A$13:$E$36,4,0))&amp;""</f>
        <v/>
      </c>
      <c r="E63" s="348" t="str">
        <f>VLOOKUP($A63,'START HERE'!$A$13:$E$36,5,0)&amp;""</f>
        <v/>
      </c>
      <c r="F63" s="199"/>
      <c r="G63" s="37" t="str">
        <f>VLOOKUP($A63,Questions!$A$2:$X$333,21,0)&amp;""</f>
        <v>Not scored</v>
      </c>
      <c r="H63" s="192"/>
      <c r="I63" s="52" t="str">
        <f>VLOOKUP($A63,Questions!$A$2:$X$333,23,0)&amp;""</f>
        <v/>
      </c>
      <c r="J63" s="192"/>
      <c r="K63" s="82"/>
      <c r="L63" s="62"/>
      <c r="M63" s="1"/>
    </row>
    <row r="64" spans="1:13" s="36" customFormat="1" ht="17">
      <c r="A64" s="25" t="str">
        <f>'START HERE'!$A$21</f>
        <v>GNRL-09</v>
      </c>
      <c r="B64" s="26" t="str">
        <f>VLOOKUP($A64,'START HERE'!$A$13:$E$36,2,0)&amp;""</f>
        <v>Employee Work Locations (all)</v>
      </c>
      <c r="C64" s="322" t="str">
        <f>VLOOKUP($A64,'START HERE'!$A$13:$E$36,3,0)&amp;""</f>
        <v>SOUTH CAROLINA</v>
      </c>
      <c r="D64" s="325" t="str">
        <f>IF(LEFT(VLOOKUP($A64,'START HERE'!$A$13:$E$36,5,0),21)='Auto Responses'!$A$73,'Auto Responses'!$A$74,VLOOKUP($A64,'START HERE'!$A$13:$E$36,4,0))&amp;""</f>
        <v/>
      </c>
      <c r="E64" s="348" t="str">
        <f>VLOOKUP($A64,'START HERE'!$A$13:$E$36,5,0)&amp;""</f>
        <v/>
      </c>
      <c r="F64" s="199"/>
      <c r="G64" s="37" t="str">
        <f>VLOOKUP($A64,Questions!$A$2:$X$333,21,0)&amp;""</f>
        <v>Not scored</v>
      </c>
      <c r="H64" s="192"/>
      <c r="I64" s="52" t="str">
        <f>VLOOKUP($A64,Questions!$A$2:$X$333,23,0)&amp;""</f>
        <v/>
      </c>
      <c r="J64" s="192"/>
      <c r="K64" s="82"/>
      <c r="L64" s="62"/>
      <c r="M64" s="1"/>
    </row>
    <row r="65" spans="1:13" s="1" customFormat="1" ht="18">
      <c r="A65" s="70" t="str">
        <f>VLOOKUP(LEFT($A66,4),'Auto Responses'!$N$4:$O$38,2,0)&amp;""</f>
        <v xml:space="preserve"> Company Information</v>
      </c>
      <c r="B65" s="29"/>
      <c r="C65" s="38"/>
      <c r="D65" s="38"/>
      <c r="E65" s="349"/>
      <c r="F65" s="139" t="s">
        <v>1089</v>
      </c>
      <c r="G65" s="358" t="s">
        <v>925</v>
      </c>
      <c r="H65" s="358" t="s">
        <v>927</v>
      </c>
      <c r="I65" s="358" t="s">
        <v>19</v>
      </c>
      <c r="J65" s="358" t="s">
        <v>912</v>
      </c>
      <c r="K65" s="38"/>
      <c r="L65" s="62"/>
    </row>
    <row r="66" spans="1:13" s="36" customFormat="1" ht="204">
      <c r="A66" s="25" t="str">
        <f>'START HERE'!$A$23</f>
        <v>COMP-01</v>
      </c>
      <c r="B66" s="26" t="str">
        <f>VLOOKUP($A66,'START HERE'!$A$13:$E$36,2,0)&amp;""</f>
        <v>Do you have a dedicated software and system development team(s) (e.g., customer support, implementation, product management, etc.)?*</v>
      </c>
      <c r="C66" s="52" t="str">
        <f>VLOOKUP($A66,'START HERE'!$A$13:$E$36,3,0)&amp;""</f>
        <v>yes</v>
      </c>
      <c r="D66" s="41" t="str">
        <f>IF(LEFT(VLOOKUP($A66,'START HERE'!$A$13:$E$36,5,0),21)='Auto Responses'!$A$73,'Auto Responses'!$A$74,VLOOKUP($A66,'START HERE'!$A$13:$E$36,4,0))&amp;""</f>
        <v>2 customer support, 1 programmer, all infrastructure is hosted with Liquid Web LLC, a professional data center provider with SOC 2 certification and audited security controls. This ensures that hosting, network, and hardware security are managed to industry standards</v>
      </c>
      <c r="E66" s="352" t="str">
        <f>VLOOKUP($A66,'START HERE'!$A$13:$E$36,5,0)&amp;""</f>
        <v>Describe the structure and size of your software and system development teams. (e.g., customer support, implementation, product management, etc.).</v>
      </c>
      <c r="F66" s="199"/>
      <c r="G66" s="37" t="str">
        <f>VLOOKUP($A66,Questions!$A$2:$X$333,21,0)&amp;""</f>
        <v>Yes</v>
      </c>
      <c r="H66" s="192"/>
      <c r="I66" s="52" t="str">
        <f>VLOOKUP($A66,Questions!$A$2:$X$333,23,0)&amp;""</f>
        <v>Critical Importance</v>
      </c>
      <c r="J66" s="192"/>
      <c r="K66" s="55" t="b">
        <v>0</v>
      </c>
      <c r="L66" s="62"/>
      <c r="M66" s="1"/>
    </row>
    <row r="67" spans="1:13" s="36" customFormat="1" ht="85">
      <c r="A67" s="25" t="str">
        <f>'START HERE'!$A$24</f>
        <v>COMP-02</v>
      </c>
      <c r="B67" s="26" t="str">
        <f>VLOOKUP($A67,'START HERE'!$A$13:$E$36,2,0)&amp;""</f>
        <v>Describe your organization’s business background and ownership structure, including all parent and subsidiary relationships.</v>
      </c>
      <c r="C67" s="324" t="str">
        <f>VLOOKUP($A67,'START HERE'!$A$13:$E$36,3,0)&amp;""</f>
        <v/>
      </c>
      <c r="D67" s="325" t="str">
        <f>IF(LEFT(VLOOKUP($A67,'START HERE'!$A$13:$E$36,5,0),21)='Auto Responses'!$A$73,'Auto Responses'!$A$74,VLOOKUP($A67,'START HERE'!$A$13:$E$36,4,0))&amp;""</f>
        <v>Design and provide higher education software since 1996 in U.S.A</v>
      </c>
      <c r="E67" s="352" t="str">
        <f>VLOOKUP($A67,'START HERE'!$A$13:$E$36,5,0)&amp;""</f>
        <v>Include circumstances that may involve offshoring or multinational agreements.</v>
      </c>
      <c r="F67" s="199"/>
      <c r="G67" s="37" t="str">
        <f>VLOOKUP($A67,Questions!$A$2:$X$333,21,0)&amp;""</f>
        <v>Not scored</v>
      </c>
      <c r="H67" s="192"/>
      <c r="I67" s="52" t="str">
        <f>VLOOKUP($A67,Questions!$A$2:$X$333,23,0)&amp;""</f>
        <v>Minor Importance</v>
      </c>
      <c r="J67" s="192"/>
      <c r="K67" s="55" t="b">
        <v>0</v>
      </c>
      <c r="L67" s="62"/>
      <c r="M67" s="1"/>
    </row>
    <row r="68" spans="1:13" s="36" customFormat="1" ht="30">
      <c r="A68" s="25" t="str">
        <f>'START HERE'!$A$25</f>
        <v>COMP-03</v>
      </c>
      <c r="B68" s="26" t="str">
        <f>VLOOKUP($A68,'START HERE'!$A$13:$E$36,2,0)&amp;""</f>
        <v>Have you operated without unplanned disruptions to this solution in the past 12 months?</v>
      </c>
      <c r="C68" s="52" t="str">
        <f>VLOOKUP($A68,'START HERE'!$A$13:$E$36,3,0)&amp;""</f>
        <v>yes</v>
      </c>
      <c r="D68" s="41" t="str">
        <f>IF(LEFT(VLOOKUP($A68,'START HERE'!$A$13:$E$36,5,0),21)='Auto Responses'!$A$73,'Auto Responses'!$A$74,VLOOKUP($A68,'START HERE'!$A$13:$E$36,4,0))&amp;""</f>
        <v/>
      </c>
      <c r="E68" s="352" t="str">
        <f>VLOOKUP($A68,'START HERE'!$A$13:$E$36,5,0)&amp;""</f>
        <v/>
      </c>
      <c r="F68" s="199"/>
      <c r="G68" s="37" t="str">
        <f>VLOOKUP($A68,Questions!$A$2:$X$333,21,0)&amp;""</f>
        <v>Yes</v>
      </c>
      <c r="H68" s="192"/>
      <c r="I68" s="52" t="str">
        <f>VLOOKUP($A68,Questions!$A$2:$X$333,23,0)&amp;""</f>
        <v>Minor Importance</v>
      </c>
      <c r="J68" s="192"/>
      <c r="K68" s="55" t="b">
        <v>0</v>
      </c>
      <c r="L68" s="62"/>
      <c r="M68" s="1"/>
    </row>
    <row r="69" spans="1:13" s="36" customFormat="1" ht="221">
      <c r="A69" s="25" t="str">
        <f>'START HERE'!$A$26</f>
        <v>COMP-04</v>
      </c>
      <c r="B69" s="26" t="str">
        <f>VLOOKUP($A69,'START HERE'!$A$13:$E$36,2,0)&amp;""</f>
        <v>Do you have a dedicated information security staff or office?</v>
      </c>
      <c r="C69" s="52" t="str">
        <f>VLOOKUP($A69,'START HERE'!$A$13:$E$36,3,0)&amp;""</f>
        <v>no</v>
      </c>
      <c r="D69" s="41" t="str">
        <f>IF(LEFT(VLOOKUP($A69,'START HERE'!$A$13:$E$36,5,0),21)='Auto Responses'!$A$73,'Auto Responses'!$A$74,VLOOKUP($A69,'START HERE'!$A$13:$E$36,4,0))&amp;""</f>
        <v>As a small business with no in-house IT staff, ASC does not plan to create a dedicated information security office. Instead, security responsibilities are centralized to the founder/administrator role, with infrastructure, network, and hosting security managed by Liquid Web LLC</v>
      </c>
      <c r="E69" s="352" t="str">
        <f>VLOOKUP($A69,'START HERE'!$A$13:$E$36,5,0)&amp;""</f>
        <v>Describe any plans to create an information security office for your organization.</v>
      </c>
      <c r="F69" s="199"/>
      <c r="G69" s="37" t="str">
        <f>VLOOKUP($A69,Questions!$A$2:$X$333,21,0)&amp;""</f>
        <v>Yes</v>
      </c>
      <c r="H69" s="192"/>
      <c r="I69" s="52" t="str">
        <f>VLOOKUP($A69,Questions!$A$2:$X$333,23,0)&amp;""</f>
        <v>Minor Importance</v>
      </c>
      <c r="J69" s="192"/>
      <c r="K69" s="55" t="b">
        <v>0</v>
      </c>
      <c r="L69" s="62"/>
      <c r="M69" s="1"/>
    </row>
    <row r="70" spans="1:13" s="36" customFormat="1" ht="409.6">
      <c r="A70" s="25" t="str">
        <f>'START HERE'!$A$27</f>
        <v>COMP-05</v>
      </c>
      <c r="B70" s="26" t="str">
        <f>VLOOKUP($A70,'START HERE'!$A$13:$E$36,2,0)&amp;""</f>
        <v>Use this area to share information about your environment that will assist those who are assessing your company's data security program.</v>
      </c>
      <c r="C70" s="324" t="str">
        <f>VLOOKUP($A70,'START HERE'!$A$13:$E$36,3,0)&amp;""</f>
        <v/>
      </c>
      <c r="D70" s="325" t="str">
        <f>IF(LEFT(VLOOKUP($A70,'START HERE'!$A$13:$E$36,5,0),21)='Auto Responses'!$A$73,'Auto Responses'!$A$74,VLOOKUP($A70,'START HERE'!$A$13:$E$36,4,0))&amp;""</f>
        <v>America’s Software Corporation (ASC) is a small U.S.-based business that develops and supports two cloud-hosted software solutions for higher education programs: TalEval (Dental Hygiene) and Discovery Pro (Cosmetology). ASC has no in-house data center or IT staff. Instead, ASC leases a dedicated, fully managed server environment from Liquid Web LLC, a SOC-audited hosting provider. The software is typically used by fewer than 50 users within a single department (Dental Hygiene or Cosmetology). It is not a campus-wide system.</v>
      </c>
      <c r="E70" s="352" t="str">
        <f>VLOOKUP($A70,'START HERE'!$A$13:$E$36,5,0)&amp;""</f>
        <v>Share any details that would help information security analysts assess your solution.</v>
      </c>
      <c r="F70" s="199"/>
      <c r="G70" s="37" t="str">
        <f>VLOOKUP($A70,Questions!$A$2:$X$333,21,0)&amp;""</f>
        <v>Not scored</v>
      </c>
      <c r="H70" s="192"/>
      <c r="I70" s="52" t="str">
        <f>VLOOKUP($A70,Questions!$A$2:$X$333,23,0)&amp;""</f>
        <v>Minor Importance</v>
      </c>
      <c r="J70" s="192"/>
      <c r="K70" s="55" t="b">
        <v>0</v>
      </c>
      <c r="L70" s="62"/>
      <c r="M70" s="1"/>
    </row>
    <row r="71" spans="1:13" s="1" customFormat="1" ht="19" thickBot="1">
      <c r="A71" s="70" t="str">
        <f>VLOOKUP(LEFT($A72,4),'Auto Responses'!$N$4:$O$38,2,0)&amp;""</f>
        <v xml:space="preserve"> Required Questions</v>
      </c>
      <c r="B71" s="29"/>
      <c r="C71" s="38"/>
      <c r="D71" s="38"/>
      <c r="E71" s="351"/>
      <c r="F71" s="139" t="s">
        <v>1089</v>
      </c>
      <c r="G71" s="358" t="s">
        <v>925</v>
      </c>
      <c r="H71" s="358" t="s">
        <v>927</v>
      </c>
      <c r="I71" s="358" t="s">
        <v>19</v>
      </c>
      <c r="J71" s="358" t="s">
        <v>912</v>
      </c>
      <c r="K71" s="160"/>
      <c r="L71" s="62"/>
    </row>
    <row r="72" spans="1:13" s="36" customFormat="1" ht="170">
      <c r="A72" s="25" t="str">
        <f>'START HERE'!$A$29</f>
        <v>REQU-01</v>
      </c>
      <c r="B72" s="26" t="str">
        <f>VLOOKUP($A72,'START HERE'!$A$13:$E$36,2,0)&amp;""</f>
        <v>Are you offering either a product or platform, as opposed to only offering a service</v>
      </c>
      <c r="C72" s="52" t="str">
        <f>VLOOKUP($A72,'START HERE'!$A$13:$E$36,3,0)&amp;""</f>
        <v>Yes</v>
      </c>
      <c r="D72" s="41" t="str">
        <f>IF(LEFT(VLOOKUP($A72,'START HERE'!$A$13:$E$36,5,0),21)='Auto Responses'!$A$73,'Auto Responses'!$A$74,VLOOKUP($A72,'START HERE'!$A$13:$E$36,4,0))&amp;""</f>
        <v>America’s Software Corporation provides web-based software products (TalEval and Discovery Pro) that institutions license and access via login. These are cloud-hosted applications, not a service-only offering</v>
      </c>
      <c r="E72" s="350" t="str">
        <f>VLOOKUP($A72,'START HERE'!$A$13:$E$36,5,0)&amp;""</f>
        <v>DO complete the Product and Infrastructure worksheets</v>
      </c>
      <c r="F72" s="200"/>
      <c r="G72" s="37" t="str">
        <f>VLOOKUP($A72,Questions!$A$2:$X$333,21,0)&amp;""</f>
        <v>Not scored</v>
      </c>
      <c r="H72" s="192"/>
      <c r="I72" s="52" t="str">
        <f>VLOOKUP($A72,Questions!$A$2:$X$333,23,0)&amp;""</f>
        <v/>
      </c>
      <c r="J72" s="192"/>
      <c r="K72" s="161" t="b">
        <v>0</v>
      </c>
      <c r="L72" s="62"/>
      <c r="M72" s="1"/>
    </row>
    <row r="73" spans="1:13" s="36" customFormat="1" ht="34">
      <c r="A73" s="25" t="str">
        <f>'START HERE'!$A$30</f>
        <v>REQU-02</v>
      </c>
      <c r="B73" s="26" t="str">
        <f>VLOOKUP($A73,'START HERE'!$A$13:$E$36,2,0)&amp;""</f>
        <v>Does your product or service have an interface?</v>
      </c>
      <c r="C73" s="52" t="str">
        <f>VLOOKUP($A73,'START HERE'!$A$13:$E$36,3,0)&amp;""</f>
        <v>yes</v>
      </c>
      <c r="D73" s="41" t="str">
        <f>IF(LEFT(VLOOKUP($A73,'START HERE'!$A$13:$E$36,5,0),21)='Auto Responses'!$A$73,'Auto Responses'!$A$74,VLOOKUP($A73,'START HERE'!$A$13:$E$36,4,0))&amp;""</f>
        <v/>
      </c>
      <c r="E73" s="350" t="str">
        <f>VLOOKUP($A73,'START HERE'!$A$13:$E$36,5,0)&amp;""</f>
        <v>DO complete the IT Accessibility worksheet.</v>
      </c>
      <c r="F73" s="195"/>
      <c r="G73" s="37" t="str">
        <f>VLOOKUP($A73,Questions!$A$2:$X$333,21,0)&amp;""</f>
        <v>Not scored</v>
      </c>
      <c r="H73" s="192"/>
      <c r="I73" s="52" t="str">
        <f>VLOOKUP($A73,Questions!$A$2:$X$333,23,0)&amp;""</f>
        <v/>
      </c>
      <c r="J73" s="192"/>
      <c r="K73" s="55" t="b">
        <v>0</v>
      </c>
      <c r="L73" s="62"/>
      <c r="M73" s="1"/>
    </row>
    <row r="74" spans="1:13" s="36" customFormat="1" ht="51">
      <c r="A74" s="25" t="str">
        <f>'START HERE'!$A$31</f>
        <v>REQU-03</v>
      </c>
      <c r="B74" s="26" t="str">
        <f>VLOOKUP($A74,'START HERE'!$A$13:$E$36,2,0)&amp;""</f>
        <v>Are you providing consulting services?</v>
      </c>
      <c r="C74" s="52" t="str">
        <f>VLOOKUP($A74,'START HERE'!$A$13:$E$36,3,0)&amp;""</f>
        <v>no</v>
      </c>
      <c r="D74" s="41" t="str">
        <f>IF(LEFT(VLOOKUP($A74,'START HERE'!$A$13:$E$36,5,0),21)='Auto Responses'!$A$73,'Auto Responses'!$A$74,VLOOKUP($A74,'START HERE'!$A$13:$E$36,4,0))&amp;""</f>
        <v/>
      </c>
      <c r="E74" s="350" t="str">
        <f>VLOOKUP($A74,'START HERE'!$A$13:$E$36,5,0)&amp;""</f>
        <v>DO NOT complete the Consulting section in the Case-Specific worksheet</v>
      </c>
      <c r="F74" s="195"/>
      <c r="G74" s="37" t="str">
        <f>VLOOKUP($A74,Questions!$A$2:$X$333,21,0)&amp;""</f>
        <v>Not scored</v>
      </c>
      <c r="H74" s="192"/>
      <c r="I74" s="52" t="str">
        <f>VLOOKUP($A74,Questions!$A$2:$X$333,23,0)&amp;""</f>
        <v/>
      </c>
      <c r="J74" s="192"/>
      <c r="K74" s="55" t="b">
        <v>0</v>
      </c>
      <c r="L74" s="62"/>
      <c r="M74" s="1"/>
    </row>
    <row r="75" spans="1:13" s="36" customFormat="1" ht="51">
      <c r="A75" s="25" t="str">
        <f>'START HERE'!$A$32</f>
        <v>REQU-04</v>
      </c>
      <c r="B75" s="26" t="str">
        <f>VLOOKUP($A75,'START HERE'!$A$13:$E$36,2,0)&amp;""</f>
        <v>Does your solution have AI features, or are there plans to implement AI features in the next 12 months?</v>
      </c>
      <c r="C75" s="52" t="str">
        <f>VLOOKUP($A75,'START HERE'!$A$13:$E$36,3,0)&amp;""</f>
        <v>no</v>
      </c>
      <c r="D75" s="41" t="str">
        <f>IF(LEFT(VLOOKUP($A75,'START HERE'!$A$13:$E$36,5,0),21)='Auto Responses'!$A$73,'Auto Responses'!$A$74,VLOOKUP($A75,'START HERE'!$A$13:$E$36,4,0))&amp;""</f>
        <v/>
      </c>
      <c r="E75" s="350" t="str">
        <f>VLOOKUP($A75,'START HERE'!$A$13:$E$36,5,0)&amp;""</f>
        <v>DO NOT complete the Artificial Intelligence (AI) worksheet</v>
      </c>
      <c r="F75" s="195"/>
      <c r="G75" s="37" t="str">
        <f>VLOOKUP($A75,Questions!$A$2:$X$333,21,0)&amp;""</f>
        <v>Not scored</v>
      </c>
      <c r="H75" s="192"/>
      <c r="I75" s="52" t="str">
        <f>VLOOKUP($A75,Questions!$A$2:$X$333,23,0)&amp;""</f>
        <v/>
      </c>
      <c r="J75" s="192"/>
      <c r="K75" s="55" t="b">
        <v>0</v>
      </c>
      <c r="L75" s="62"/>
      <c r="M75" s="1"/>
    </row>
    <row r="76" spans="1:13" s="36" customFormat="1" ht="51">
      <c r="A76" s="25" t="str">
        <f>'START HERE'!$A$33</f>
        <v>REQU-05</v>
      </c>
      <c r="B76" s="26" t="str">
        <f>VLOOKUP($A76,'START HERE'!$A$13:$E$36,2,0)&amp;""</f>
        <v>Does your solution process protected health information (PHI) or any data covered by the Health Insurance Portability and Accountability Act (HIPAA)?</v>
      </c>
      <c r="C76" s="52" t="str">
        <f>VLOOKUP($A76,'START HERE'!$A$13:$E$36,3,0)&amp;""</f>
        <v>no</v>
      </c>
      <c r="D76" s="41" t="str">
        <f>IF(LEFT(VLOOKUP($A76,'START HERE'!$A$13:$E$36,5,0),21)='Auto Responses'!$A$73,'Auto Responses'!$A$74,VLOOKUP($A76,'START HERE'!$A$13:$E$36,4,0))&amp;""</f>
        <v/>
      </c>
      <c r="E76" s="350" t="str">
        <f>VLOOKUP($A76,'START HERE'!$A$13:$E$36,5,0)&amp;""</f>
        <v>DO NOT complete the HIPAA section in the Case-Specific worksheet</v>
      </c>
      <c r="F76" s="195"/>
      <c r="G76" s="37" t="str">
        <f>VLOOKUP($A76,Questions!$A$2:$X$333,21,0)&amp;""</f>
        <v>Not scored</v>
      </c>
      <c r="H76" s="192"/>
      <c r="I76" s="52" t="str">
        <f>VLOOKUP($A76,Questions!$A$2:$X$333,23,0)&amp;""</f>
        <v/>
      </c>
      <c r="J76" s="192"/>
      <c r="K76" s="55" t="b">
        <v>0</v>
      </c>
      <c r="L76" s="62"/>
      <c r="M76" s="1"/>
    </row>
    <row r="77" spans="1:13" s="36" customFormat="1" ht="51">
      <c r="A77" s="25" t="str">
        <f>'START HERE'!$A$34</f>
        <v>REQU-06</v>
      </c>
      <c r="B77" s="26" t="str">
        <f>VLOOKUP($A77,'START HERE'!$A$13:$E$36,2,0)&amp;""</f>
        <v>Is the solution designed to process, store, or transmit credit card information?</v>
      </c>
      <c r="C77" s="52" t="str">
        <f>VLOOKUP($A77,'START HERE'!$A$13:$E$36,3,0)&amp;""</f>
        <v>no</v>
      </c>
      <c r="D77" s="41" t="str">
        <f>IF(LEFT(VLOOKUP($A77,'START HERE'!$A$13:$E$36,5,0),21)='Auto Responses'!$A$73,'Auto Responses'!$A$74,VLOOKUP($A77,'START HERE'!$A$13:$E$36,4,0))&amp;""</f>
        <v/>
      </c>
      <c r="E77" s="350" t="str">
        <f>VLOOKUP($A77,'START HERE'!$A$13:$E$36,5,0)&amp;""</f>
        <v>DO NOT complete the PCI-DSS section in the Case-Specific worksheet</v>
      </c>
      <c r="F77" s="195"/>
      <c r="G77" s="37" t="str">
        <f>VLOOKUP($A77,Questions!$A$2:$X$333,21,0)&amp;""</f>
        <v>Not scored</v>
      </c>
      <c r="H77" s="192"/>
      <c r="I77" s="52" t="str">
        <f>VLOOKUP($A77,Questions!$A$2:$X$333,23,0)&amp;""</f>
        <v/>
      </c>
      <c r="J77" s="192"/>
      <c r="K77" s="55" t="b">
        <v>0</v>
      </c>
      <c r="L77" s="62"/>
      <c r="M77" s="1"/>
    </row>
    <row r="78" spans="1:13" s="36" customFormat="1" ht="60">
      <c r="A78" s="25" t="str">
        <f>'START HERE'!$A$35</f>
        <v>REQU-07</v>
      </c>
      <c r="B78" s="26"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52" t="str">
        <f>VLOOKUP($A78,'START HERE'!$A$13:$E$36,3,0)&amp;""</f>
        <v>no</v>
      </c>
      <c r="D78" s="41" t="str">
        <f>IF(LEFT(VLOOKUP($A78,'START HERE'!$A$13:$E$36,5,0),21)='Auto Responses'!$A$73,'Auto Responses'!$A$74,VLOOKUP($A78,'START HERE'!$A$13:$E$36,4,0))&amp;""</f>
        <v/>
      </c>
      <c r="E78" s="350" t="str">
        <f>VLOOKUP($A78,'START HERE'!$A$13:$E$36,5,0)&amp;""</f>
        <v>DO NOT complete the On-Prem section in the Case-Specific worksheet</v>
      </c>
      <c r="F78" s="195"/>
      <c r="G78" s="37" t="str">
        <f>VLOOKUP($A78,Questions!$A$2:$X$333,21,0)&amp;""</f>
        <v>Not scored</v>
      </c>
      <c r="H78" s="192"/>
      <c r="I78" s="52" t="str">
        <f>VLOOKUP($A78,Questions!$A$2:$X$333,23,0)&amp;""</f>
        <v/>
      </c>
      <c r="J78" s="192"/>
      <c r="K78" s="55" t="b">
        <v>0</v>
      </c>
      <c r="L78" s="62"/>
      <c r="M78" s="1"/>
    </row>
    <row r="79" spans="1:13" s="36" customFormat="1" ht="307" thickBot="1">
      <c r="A79" s="25" t="str">
        <f>'START HERE'!$A$36</f>
        <v>REQU-08</v>
      </c>
      <c r="B79" s="26" t="str">
        <f>VLOOKUP($A79,'START HERE'!$A$13:$E$36,2,0)&amp;""</f>
        <v>Does your solution have access to personal or institutional data?</v>
      </c>
      <c r="C79" s="52" t="str">
        <f>VLOOKUP($A79,'START HERE'!$A$13:$E$36,3,0)&amp;""</f>
        <v>yes</v>
      </c>
      <c r="D79" s="41" t="str">
        <f>IF(LEFT(VLOOKUP($A79,'START HERE'!$A$13:$E$36,5,0),21)='Auto Responses'!$A$73,'Auto Responses'!$A$74,VLOOKUP($A79,'START HERE'!$A$13:$E$36,4,0))&amp;""</f>
        <v>TalEval stores limited personal information (student first/last name, program entry and graduation dates) required for academic evaluation. The solution does not store Social Security numbers, financial data, medical histories, or other high-risk sensitive data. The application does not interface with other institutional systems, and all data remains contained within TalEval.</v>
      </c>
      <c r="E79" s="350" t="str">
        <f>VLOOKUP($A79,'START HERE'!$A$13:$E$36,5,0)&amp;""</f>
        <v>DO complete the Privacy tab</v>
      </c>
      <c r="F79" s="201"/>
      <c r="G79" s="37" t="str">
        <f>VLOOKUP($A79,Questions!$A$2:$X$333,21,0)&amp;""</f>
        <v>Not scored</v>
      </c>
      <c r="H79" s="192"/>
      <c r="I79" s="52" t="str">
        <f>VLOOKUP($A79,Questions!$A$2:$X$333,23,0)&amp;""</f>
        <v/>
      </c>
      <c r="J79" s="192"/>
      <c r="K79" s="159" t="b">
        <v>0</v>
      </c>
      <c r="L79" s="62"/>
      <c r="M79" s="1"/>
    </row>
    <row r="80" spans="1:13" s="1" customFormat="1" ht="18">
      <c r="A80" s="70" t="str">
        <f>VLOOKUP(LEFT($A81,4),'Auto Responses'!$N$4:$O$38,2,0)&amp;""</f>
        <v xml:space="preserve"> Documentation</v>
      </c>
      <c r="B80" s="29"/>
      <c r="C80" s="38"/>
      <c r="D80" s="38"/>
      <c r="E80" s="351"/>
      <c r="F80" s="139" t="s">
        <v>1089</v>
      </c>
      <c r="G80" s="358" t="s">
        <v>925</v>
      </c>
      <c r="H80" s="358" t="s">
        <v>927</v>
      </c>
      <c r="I80" s="358" t="s">
        <v>19</v>
      </c>
      <c r="J80" s="358" t="s">
        <v>912</v>
      </c>
      <c r="K80" s="38"/>
    </row>
    <row r="81" spans="1:12" s="36" customFormat="1" ht="30">
      <c r="A81" s="25" t="str">
        <f>Organization!$A$22</f>
        <v>DOCU-01</v>
      </c>
      <c r="B81" s="26" t="str">
        <f>VLOOKUP($A81,Organization!$A$13:$E$67,2,0)&amp;""</f>
        <v>Do you have a well-documented business continuity plan (BCP), with a clear owner, that is tested annually?*</v>
      </c>
      <c r="C81" s="52" t="str">
        <f>VLOOKUP($A81,Organization!$A$13:$E$67,3,0)&amp;""</f>
        <v>yes</v>
      </c>
      <c r="D81" s="41" t="str">
        <f>IF(LEFT(VLOOKUP($A81,Organization!$A$13:$E$67,5,0),21)='Auto Responses'!$A$73,'Auto Responses'!$A$74,VLOOKUP($A81,Organization!$A$13:$E$67,4,0))&amp;""</f>
        <v/>
      </c>
      <c r="E81" s="350" t="str">
        <f>VLOOKUP($A81,Organization!$A$13:$E$67,5,0)&amp;""</f>
        <v/>
      </c>
      <c r="F81" s="202"/>
      <c r="G81" s="37" t="str">
        <f>VLOOKUP($A81,Questions!$A$2:$X$333,21,0)&amp;""</f>
        <v>Yes</v>
      </c>
      <c r="H81" s="192"/>
      <c r="I81" s="52" t="str">
        <f>VLOOKUP($A81,Questions!$A$2:$X$333,23,0)&amp;""</f>
        <v>Critical Importance</v>
      </c>
      <c r="J81" s="192"/>
      <c r="K81" s="55" t="b">
        <v>0</v>
      </c>
      <c r="L81" s="1"/>
    </row>
    <row r="82" spans="1:12" s="36" customFormat="1" ht="30">
      <c r="A82" s="25" t="str">
        <f>Organization!$A$23</f>
        <v>DOCU-02</v>
      </c>
      <c r="B82" s="26" t="str">
        <f>VLOOKUP($A82,Organization!$A$13:$E$67,2,0)&amp;""</f>
        <v>Do you have a well-documented disaster recovery plan (DRP), with a clear owner, that is tested annually?*</v>
      </c>
      <c r="C82" s="52" t="str">
        <f>VLOOKUP($A82,Organization!$A$13:$E$67,3,0)&amp;""</f>
        <v>yes</v>
      </c>
      <c r="D82" s="41" t="str">
        <f>IF(LEFT(VLOOKUP($A82,Organization!$A$13:$E$67,5,0),21)='Auto Responses'!$A$73,'Auto Responses'!$A$74,VLOOKUP($A82,Organization!$A$13:$E$67,4,0))&amp;""</f>
        <v/>
      </c>
      <c r="E82" s="350" t="str">
        <f>VLOOKUP($A82,Organization!$A$13:$E$67,5,0)&amp;""</f>
        <v/>
      </c>
      <c r="F82" s="202"/>
      <c r="G82" s="37" t="str">
        <f>VLOOKUP($A82,Questions!$A$2:$X$333,21,0)&amp;""</f>
        <v>Yes</v>
      </c>
      <c r="H82" s="192"/>
      <c r="I82" s="52" t="str">
        <f>VLOOKUP($A82,Questions!$A$2:$X$333,23,0)&amp;""</f>
        <v>Critical Importance</v>
      </c>
      <c r="J82" s="192"/>
      <c r="K82" s="55" t="b">
        <v>0</v>
      </c>
      <c r="L82" s="1"/>
    </row>
    <row r="83" spans="1:12" s="36" customFormat="1" ht="170">
      <c r="A83" s="25" t="str">
        <f>Organization!$A$24</f>
        <v>DOCU-03</v>
      </c>
      <c r="B83" s="26" t="str">
        <f>VLOOKUP($A83,Organization!$A$13:$E$67,2,0)&amp;""</f>
        <v>Have you undergone a SSAE 18/SOC 2 audit?</v>
      </c>
      <c r="C83" s="52" t="str">
        <f>VLOOKUP($A83,Organization!$A$13:$E$67,3,0)&amp;""</f>
        <v>yes</v>
      </c>
      <c r="D83" s="41" t="str">
        <f>IF(LEFT(VLOOKUP($A83,Organization!$A$13:$E$67,5,0),21)='Auto Responses'!$A$73,'Auto Responses'!$A$74,VLOOKUP($A83,Organization!$A$13:$E$67,4,0))&amp;""</f>
        <v>Handled by hosting provider (Liquid Web LLC, D30 report available)”.</v>
      </c>
      <c r="E83" s="350" t="str">
        <f>VLOOKUP($A83,Organization!$A$13:$E$67,5,0)&amp;""</f>
        <v>Provide the date of assessment and include a SOC 2 Type 2 (preferred) or SOC 3 report. If you have a SOC 3 report, state how to obtain a copy. Indicate if your hosting provider was the subject of the audit.</v>
      </c>
      <c r="F83" s="202"/>
      <c r="G83" s="37" t="str">
        <f>VLOOKUP($A83,Questions!$A$2:$X$333,21,0)&amp;""</f>
        <v>Yes</v>
      </c>
      <c r="H83" s="192"/>
      <c r="I83" s="52" t="str">
        <f>VLOOKUP($A83,Questions!$A$2:$X$333,23,0)&amp;""</f>
        <v>Standard Importance</v>
      </c>
      <c r="J83" s="192"/>
      <c r="K83" s="55" t="b">
        <v>0</v>
      </c>
      <c r="L83" s="1"/>
    </row>
    <row r="84" spans="1:12" s="36" customFormat="1" ht="119">
      <c r="A84" s="25" t="str">
        <f>Organization!$A$25</f>
        <v>DOCU-04</v>
      </c>
      <c r="B84" s="26" t="str">
        <f>VLOOKUP($A84,Organization!$A$13:$E$67,2,0)&amp;""</f>
        <v>Do you conform with a specific industry standard security framework (e.g., NIST Cybersecurity Framework, CIS Controls, ISO 27001, etc.)?</v>
      </c>
      <c r="C84" s="52" t="str">
        <f>VLOOKUP($A84,Organization!$A$13:$E$67,3,0)&amp;""</f>
        <v>yes</v>
      </c>
      <c r="D84" s="41" t="str">
        <f>IF(LEFT(VLOOKUP($A84,Organization!$A$13:$E$67,5,0),21)='Auto Responses'!$A$73,'Auto Responses'!$A$74,VLOOKUP($A84,Organization!$A$13:$E$67,4,0))&amp;""</f>
        <v>Handled by hosting provider (Liquid Web LLC, SOC 2 report available)”.</v>
      </c>
      <c r="E84" s="350" t="str">
        <f>VLOOKUP($A84,Organization!$A$13:$E$67,5,0)&amp;""</f>
        <v>Provide documentation on how your organization conforms to your chosen framework and indicate current certification levels, where appropriate.</v>
      </c>
      <c r="F84" s="202"/>
      <c r="G84" s="37" t="str">
        <f>VLOOKUP($A84,Questions!$A$2:$X$333,21,0)&amp;""</f>
        <v>Yes</v>
      </c>
      <c r="H84" s="192"/>
      <c r="I84" s="52" t="str">
        <f>VLOOKUP($A84,Questions!$A$2:$X$333,23,0)&amp;""</f>
        <v>Standard Importance</v>
      </c>
      <c r="J84" s="192"/>
      <c r="K84" s="55" t="b">
        <v>0</v>
      </c>
      <c r="L84" s="1"/>
    </row>
    <row r="85" spans="1:12" s="36" customFormat="1" ht="68">
      <c r="A85" s="25" t="str">
        <f>Organization!$A$26</f>
        <v>DOCU-05</v>
      </c>
      <c r="B85" s="26" t="str">
        <f>VLOOKUP($A85,Organization!$A$13:$E$67,2,0)&amp;""</f>
        <v>Can you provide overall system and/or application architecture diagrams, including a full description of the data flow for all components of the system?</v>
      </c>
      <c r="C85" s="52" t="str">
        <f>VLOOKUP($A85,Organization!$A$13:$E$67,3,0)&amp;""</f>
        <v>yes</v>
      </c>
      <c r="D85" s="41" t="str">
        <f>IF(LEFT(VLOOKUP($A85,Organization!$A$13:$E$67,5,0),21)='Auto Responses'!$A$73,'Auto Responses'!$A$74,VLOOKUP($A85,Organization!$A$13:$E$67,4,0))&amp;""</f>
        <v>Handled by hosting provider (Liquid Web LLC, SOC 2 report available)”.</v>
      </c>
      <c r="E85" s="350" t="str">
        <f>VLOOKUP($A85,Organization!$A$13:$E$67,5,0)&amp;""</f>
        <v>Provide your diagrams (or a valid link to it) upon submission.</v>
      </c>
      <c r="F85" s="202"/>
      <c r="G85" s="37" t="str">
        <f>VLOOKUP($A85,Questions!$A$2:$X$333,21,0)&amp;""</f>
        <v>Yes</v>
      </c>
      <c r="H85" s="192"/>
      <c r="I85" s="52" t="str">
        <f>VLOOKUP($A85,Questions!$A$2:$X$333,23,0)&amp;""</f>
        <v>Standard Importance</v>
      </c>
      <c r="J85" s="192"/>
      <c r="K85" s="55" t="b">
        <v>0</v>
      </c>
      <c r="L85" s="1"/>
    </row>
    <row r="86" spans="1:12" s="36" customFormat="1" ht="68">
      <c r="A86" s="25" t="str">
        <f>Organization!$A$27</f>
        <v>DOCU-06</v>
      </c>
      <c r="B86" s="26" t="str">
        <f>VLOOKUP($A86,Organization!$A$13:$E$67,2,0)&amp;""</f>
        <v>Does your organization have a data privacy policy?</v>
      </c>
      <c r="C86" s="52" t="str">
        <f>VLOOKUP($A86,Organization!$A$13:$E$67,3,0)&amp;""</f>
        <v>yes</v>
      </c>
      <c r="D86" s="41" t="str">
        <f>IF(LEFT(VLOOKUP($A86,Organization!$A$13:$E$67,5,0),21)='Auto Responses'!$A$73,'Auto Responses'!$A$74,VLOOKUP($A86,Organization!$A$13:$E$67,4,0))&amp;""</f>
        <v>https://taleval.com/SiteDocs/TalEvalRazor_Website_Terms.pdf</v>
      </c>
      <c r="E86" s="350" t="str">
        <f>VLOOKUP($A86,Organization!$A$13:$E$67,5,0)&amp;""</f>
        <v>Provide your data privacy document (or a valid link to it) upon submission.</v>
      </c>
      <c r="F86" s="202"/>
      <c r="G86" s="37" t="str">
        <f>VLOOKUP($A86,Questions!$A$2:$X$333,21,0)&amp;""</f>
        <v>Yes</v>
      </c>
      <c r="H86" s="192"/>
      <c r="I86" s="52" t="str">
        <f>VLOOKUP($A86,Questions!$A$2:$X$333,23,0)&amp;""</f>
        <v>Standard Importance</v>
      </c>
      <c r="J86" s="192"/>
      <c r="K86" s="55" t="b">
        <v>0</v>
      </c>
      <c r="L86" s="1"/>
    </row>
    <row r="87" spans="1:12" s="36" customFormat="1" ht="68">
      <c r="A87" s="25" t="str">
        <f>Organization!$A$28</f>
        <v>DOCU-07</v>
      </c>
      <c r="B87" s="26" t="str">
        <f>VLOOKUP($A87,Organization!$A$13:$E$67,2,0)&amp;""</f>
        <v>Do you have a documented, and currently implemented, employee onboarding and offboarding policy?</v>
      </c>
      <c r="C87" s="52" t="str">
        <f>VLOOKUP($A87,Organization!$A$13:$E$67,3,0)&amp;""</f>
        <v>no</v>
      </c>
      <c r="D87" s="41" t="str">
        <f>IF(LEFT(VLOOKUP($A87,Organization!$A$13:$E$67,5,0),21)='Auto Responses'!$A$73,'Auto Responses'!$A$74,VLOOKUP($A87,Organization!$A$13:$E$67,4,0))&amp;""</f>
        <v>small business.  3 full time employees, 2 contractors.  Don't need it</v>
      </c>
      <c r="E87" s="350" t="str">
        <f>VLOOKUP($A87,Organization!$A$13:$E$67,5,0)&amp;""</f>
        <v>Briefly summarize your response.</v>
      </c>
      <c r="F87" s="202"/>
      <c r="G87" s="37" t="str">
        <f>VLOOKUP($A87,Questions!$A$2:$X$333,21,0)&amp;""</f>
        <v>Yes</v>
      </c>
      <c r="H87" s="192"/>
      <c r="I87" s="52" t="str">
        <f>VLOOKUP($A87,Questions!$A$2:$X$333,23,0)&amp;""</f>
        <v>Standard Importance</v>
      </c>
      <c r="J87" s="192"/>
      <c r="K87" s="55" t="b">
        <v>0</v>
      </c>
      <c r="L87" s="1"/>
    </row>
    <row r="88" spans="1:12" s="1" customFormat="1" ht="18">
      <c r="A88" s="70" t="str">
        <f>VLOOKUP(LEFT($A89,4),'Auto Responses'!$N$4:$O$38,2,0)&amp;""</f>
        <v xml:space="preserve"> Assessment of Third Parties</v>
      </c>
      <c r="B88" s="29"/>
      <c r="C88" s="38"/>
      <c r="D88" s="38"/>
      <c r="E88" s="351"/>
      <c r="F88" s="139" t="s">
        <v>1089</v>
      </c>
      <c r="G88" s="358" t="s">
        <v>925</v>
      </c>
      <c r="H88" s="358" t="s">
        <v>927</v>
      </c>
      <c r="I88" s="358" t="s">
        <v>19</v>
      </c>
      <c r="J88" s="358" t="s">
        <v>912</v>
      </c>
      <c r="K88" s="38"/>
    </row>
    <row r="89" spans="1:12" s="36" customFormat="1" ht="255">
      <c r="A89" s="25" t="str">
        <f>Organization!$A$30</f>
        <v>THRD-01</v>
      </c>
      <c r="B89" s="26" t="str">
        <f>VLOOKUP($A89,Organization!$A$13:$E$67,2,0)&amp;""</f>
        <v>Do you perform security assessments of third-party companies with which you share data (e.g., hosting providers, cloud services, PaaS, IaaS, SaaS)?*</v>
      </c>
      <c r="C89" s="52" t="str">
        <f>VLOOKUP($A89,Organization!$A$13:$E$67,3,0)&amp;""</f>
        <v>yes</v>
      </c>
      <c r="D89" s="41" t="str">
        <f>IF(LEFT(VLOOKUP($A89,Organization!$A$13:$E$67,5,0),21)='Auto Responses'!$A$73,'Auto Responses'!$A$74,VLOOKUP($A89,Organization!$A$13:$E$67,4,0))&amp;""</f>
        <v>America’s Software Corporation performs due diligence on its hosting provider, Liquid Web LLC. Security assessments are based on Liquid Web’s SOC 2 report and independent audits, which confirm compliance with security, availability, and confidentiality standards. No other third parties have access to institutional data</v>
      </c>
      <c r="E89" s="350" t="str">
        <f>VLOOKUP($A89,Organization!$A$13:$E$67,5,0)&amp;""</f>
        <v>Provide a summary of your practices that assures that the third party will be subject to the appropriate standards regarding security, service recoverability, and confidentiality.</v>
      </c>
      <c r="F89" s="202"/>
      <c r="G89" s="37" t="str">
        <f>VLOOKUP($A89,Questions!$A$2:$X$333,21,0)&amp;""</f>
        <v>Yes</v>
      </c>
      <c r="H89" s="192"/>
      <c r="I89" s="52" t="str">
        <f>VLOOKUP($A89,Questions!$A$2:$X$333,23,0)&amp;""</f>
        <v>Critical Importance</v>
      </c>
      <c r="J89" s="192"/>
      <c r="K89" s="55" t="b">
        <v>0</v>
      </c>
      <c r="L89" s="1"/>
    </row>
    <row r="90" spans="1:12" s="36" customFormat="1" ht="204">
      <c r="A90" s="25" t="str">
        <f>Organization!$A$31</f>
        <v>THRD-02</v>
      </c>
      <c r="B90" s="26" t="str">
        <f>VLOOKUP($A90,Organization!$A$13:$E$67,2,0)&amp;""</f>
        <v>Do you have contractual language in place with third parties governing access to institutional data?*</v>
      </c>
      <c r="C90" s="52" t="str">
        <f>VLOOKUP($A90,Organization!$A$13:$E$67,3,0)&amp;""</f>
        <v>yes</v>
      </c>
      <c r="D90" s="41" t="str">
        <f>IF(LEFT(VLOOKUP($A90,Organization!$A$13:$E$67,5,0),21)='Auto Responses'!$A$73,'Auto Responses'!$A$74,VLOOKUP($A90,Organization!$A$13:$E$67,4,0))&amp;""</f>
        <v>institutional data is hosted with Liquid Web LLC under a formal service agreement. Liquid Web is SOC 2 certified, and contractual provisions govern access, security, and compliance requirements. No other third parties have access to institutional dat</v>
      </c>
      <c r="E90" s="350" t="str">
        <f>VLOOKUP($A90,Organization!$A$13:$E$67,5,0)&amp;""</f>
        <v>List each third party and why institutional data is shared with them. Format example: [Third Party Name] - Reason</v>
      </c>
      <c r="F90" s="202"/>
      <c r="G90" s="37" t="str">
        <f>VLOOKUP($A90,Questions!$A$2:$X$333,21,0)&amp;""</f>
        <v>Yes</v>
      </c>
      <c r="H90" s="192"/>
      <c r="I90" s="52" t="str">
        <f>VLOOKUP($A90,Questions!$A$2:$X$333,23,0)&amp;""</f>
        <v>Critical Importance</v>
      </c>
      <c r="J90" s="192"/>
      <c r="K90" s="55" t="b">
        <v>0</v>
      </c>
      <c r="L90" s="1"/>
    </row>
    <row r="91" spans="1:12" s="36" customFormat="1" ht="30">
      <c r="A91" s="25" t="str">
        <f>Organization!$A$32</f>
        <v>THRD-03</v>
      </c>
      <c r="B91" s="26" t="str">
        <f>VLOOKUP($A91,Organization!$A$13:$E$67,2,0)&amp;""</f>
        <v>Do the contracts in place with these third parties address liability in the event of a data breach?*</v>
      </c>
      <c r="C91" s="52" t="str">
        <f>VLOOKUP($A91,Organization!$A$13:$E$67,3,0)&amp;""</f>
        <v>yes</v>
      </c>
      <c r="D91" s="41" t="str">
        <f>IF(LEFT(VLOOKUP($A91,Organization!$A$13:$E$67,5,0),21)='Auto Responses'!$A$73,'Auto Responses'!$A$74,VLOOKUP($A91,Organization!$A$13:$E$67,4,0))&amp;""</f>
        <v/>
      </c>
      <c r="E91" s="350" t="str">
        <f>VLOOKUP($A91,Organization!$A$13:$E$67,5,0)&amp;""</f>
        <v/>
      </c>
      <c r="F91" s="202"/>
      <c r="G91" s="37" t="str">
        <f>VLOOKUP($A91,Questions!$A$2:$X$333,21,0)&amp;""</f>
        <v>Yes</v>
      </c>
      <c r="H91" s="192"/>
      <c r="I91" s="52" t="str">
        <f>VLOOKUP($A91,Questions!$A$2:$X$333,23,0)&amp;""</f>
        <v>Critical Importance</v>
      </c>
      <c r="J91" s="192"/>
      <c r="K91" s="55" t="b">
        <v>0</v>
      </c>
      <c r="L91" s="1"/>
    </row>
    <row r="92" spans="1:12" s="36" customFormat="1" ht="119">
      <c r="A92" s="25" t="str">
        <f>Organization!$A$33</f>
        <v>THRD-04</v>
      </c>
      <c r="B92" s="26" t="str">
        <f>VLOOKUP($A92,Organization!$A$13:$E$67,2,0)&amp;""</f>
        <v>Do you have an implemented third-party management strategy?*</v>
      </c>
      <c r="C92" s="52" t="str">
        <f>VLOOKUP($A92,Organization!$A$13:$E$67,3,0)&amp;""</f>
        <v>yes</v>
      </c>
      <c r="D92" s="41" t="str">
        <f>IF(LEFT(VLOOKUP($A92,Organization!$A$13:$E$67,5,0),21)='Auto Responses'!$A$73,'Auto Responses'!$A$74,VLOOKUP($A92,Organization!$A$13:$E$67,4,0))&amp;""</f>
        <v>Outsourced vendor selection + reliance on SOC audits and certifications.</v>
      </c>
      <c r="E92" s="350" t="str">
        <f>VLOOKUP($A92,Organization!$A$13:$E$67,5,0)&amp;""</f>
        <v>Provide additional information that may help analysts better understand your environment and how it relates to third-party solutions.</v>
      </c>
      <c r="F92" s="202"/>
      <c r="G92" s="37" t="str">
        <f>VLOOKUP($A92,Questions!$A$2:$X$333,21,0)&amp;""</f>
        <v>Yes</v>
      </c>
      <c r="H92" s="192"/>
      <c r="I92" s="52" t="str">
        <f>VLOOKUP($A92,Questions!$A$2:$X$333,23,0)&amp;""</f>
        <v>Critical Importance</v>
      </c>
      <c r="J92" s="192"/>
      <c r="K92" s="55" t="b">
        <v>0</v>
      </c>
      <c r="L92" s="1"/>
    </row>
    <row r="93" spans="1:12" s="36" customFormat="1" ht="306">
      <c r="A93" s="25" t="str">
        <f>Organization!$A$34</f>
        <v>THRD-05</v>
      </c>
      <c r="B93" s="26" t="str">
        <f>VLOOKUP($A93,Organization!$A$13:$E$67,2,0)&amp;""</f>
        <v>Do you have a process and implemented procedures for managing your hardware supply chain (e.g., telecommunications equipment, export licensing, computing devices)?</v>
      </c>
      <c r="C93" s="52" t="str">
        <f>VLOOKUP($A93,Organization!$A$13:$E$67,3,0)&amp;""</f>
        <v>yes</v>
      </c>
      <c r="D93" s="41" t="str">
        <f>IF(LEFT(VLOOKUP($A93,Organization!$A$13:$E$67,5,0),21)='Auto Responses'!$A$73,'Auto Responses'!$A$74,VLOOKUP($A93,Organization!$A$13:$E$67,4,0))&amp;""</f>
        <v>America’s Software Corporation does not directly procure or manage server or network hardware. All infrastructure is provided by our hosting provider, Liquid Web LLC, which maintains SOC-audited supply chain controls for telecommunications equipment, computing devices, and data center hardware. These controls are covered under Liquid Web’s compliance certifications</v>
      </c>
      <c r="E93" s="350" t="str">
        <f>VLOOKUP($A93,Organization!$A$13:$E$67,5,0)&amp;""</f>
        <v>State what countries and/or regions this process is compliant with.</v>
      </c>
      <c r="F93" s="202"/>
      <c r="G93" s="37" t="str">
        <f>VLOOKUP($A93,Questions!$A$2:$X$333,21,0)&amp;""</f>
        <v>Yes</v>
      </c>
      <c r="H93" s="192"/>
      <c r="I93" s="52" t="str">
        <f>VLOOKUP($A93,Questions!$A$2:$X$333,23,0)&amp;""</f>
        <v>Standard Importance</v>
      </c>
      <c r="J93" s="192"/>
      <c r="K93" s="55" t="b">
        <v>0</v>
      </c>
      <c r="L93" s="1"/>
    </row>
    <row r="94" spans="1:12" s="1" customFormat="1" ht="18">
      <c r="A94" s="70" t="str">
        <f>VLOOKUP(LEFT($A95,4),'Auto Responses'!$N$4:$O$38,2,0)&amp;""</f>
        <v xml:space="preserve"> Change Management</v>
      </c>
      <c r="B94" s="29"/>
      <c r="C94" s="38"/>
      <c r="D94" s="38"/>
      <c r="E94" s="351"/>
      <c r="F94" s="139" t="s">
        <v>1089</v>
      </c>
      <c r="G94" s="358" t="s">
        <v>925</v>
      </c>
      <c r="H94" s="358" t="s">
        <v>927</v>
      </c>
      <c r="I94" s="358" t="s">
        <v>19</v>
      </c>
      <c r="J94" s="358" t="s">
        <v>912</v>
      </c>
      <c r="K94" s="38"/>
    </row>
    <row r="95" spans="1:12" s="36" customFormat="1" ht="170">
      <c r="A95" s="25" t="str">
        <f>Organization!$A$36</f>
        <v>CHNG-01</v>
      </c>
      <c r="B95" s="26" t="str">
        <f>VLOOKUP($A95,Organization!$A$13:$E$67,2,0)&amp;""</f>
        <v>Will the institution be notified of major changes to your environment that could impact the institution's security posture?*</v>
      </c>
      <c r="C95" s="52" t="str">
        <f>VLOOKUP($A95,Organization!$A$13:$E$67,3,0)&amp;""</f>
        <v>yes</v>
      </c>
      <c r="D95" s="41" t="str">
        <f>IF(LEFT(VLOOKUP($A95,Organization!$A$13:$E$67,5,0),21)='Auto Responses'!$A$73,'Auto Responses'!$A$74,VLOOKUP($A95,Organization!$A$13:$E$67,4,0))&amp;""</f>
        <v>America’s Software Corporation provides at least 60 days’ notice prior to such changes. Routine software updates and enhancements are applied without impacting security or institutional data</v>
      </c>
      <c r="E95" s="350" t="str">
        <f>VLOOKUP($A95,Organization!$A$13:$E$67,5,0)&amp;""</f>
        <v>State how and when the institution will be notified of major changes to your environment.</v>
      </c>
      <c r="F95" s="202"/>
      <c r="G95" s="37" t="str">
        <f>VLOOKUP($A95,Questions!$A$2:$X$333,21,0)&amp;""</f>
        <v>Yes</v>
      </c>
      <c r="H95" s="192"/>
      <c r="I95" s="52" t="str">
        <f>VLOOKUP($A95,Questions!$A$2:$X$333,23,0)&amp;""</f>
        <v>Critical Importance</v>
      </c>
      <c r="J95" s="192"/>
      <c r="K95" s="55" t="b">
        <v>0</v>
      </c>
      <c r="L95" s="1"/>
    </row>
    <row r="96" spans="1:12" s="36" customFormat="1" ht="119">
      <c r="A96" s="25" t="str">
        <f>Organization!$A$37</f>
        <v>CHNG-02</v>
      </c>
      <c r="B96" s="26" t="str">
        <f>VLOOKUP($A96,Organization!$A$13:$E$67,2,0)&amp;""</f>
        <v>Does the system support client customizations from one release to another?*</v>
      </c>
      <c r="C96" s="52" t="str">
        <f>VLOOKUP($A96,Organization!$A$13:$E$67,3,0)&amp;""</f>
        <v>yes</v>
      </c>
      <c r="D96" s="41" t="str">
        <f>IF(LEFT(VLOOKUP($A96,Organization!$A$13:$E$67,5,0),21)='Auto Responses'!$A$73,'Auto Responses'!$A$74,VLOOKUP($A96,Organization!$A$13:$E$67,4,0))&amp;""</f>
        <v>Customer-specific configuration settings and customizations are stored separately from application code and are preserved during software upgrades. Product updates do not overwrite customer configuration data.</v>
      </c>
      <c r="E96" s="350" t="str">
        <f>VLOOKUP($A96,Organization!$A$13:$E$67,5,0)&amp;""</f>
        <v>Describe or provide reference to your solution support strategy in regard to maintaining client customizations from one release to another.</v>
      </c>
      <c r="F96" s="202"/>
      <c r="G96" s="37" t="str">
        <f>VLOOKUP($A96,Questions!$A$2:$X$333,21,0)&amp;""</f>
        <v>Yes</v>
      </c>
      <c r="H96" s="192"/>
      <c r="I96" s="52" t="str">
        <f>VLOOKUP($A96,Questions!$A$2:$X$333,23,0)&amp;""</f>
        <v>Critical Importance</v>
      </c>
      <c r="J96" s="192"/>
      <c r="K96" s="55" t="b">
        <v>0</v>
      </c>
      <c r="L96" s="1"/>
    </row>
    <row r="97" spans="1:12" s="36" customFormat="1" ht="204">
      <c r="A97" s="25" t="str">
        <f>Organization!$A$38</f>
        <v>CHNG-03</v>
      </c>
      <c r="B97" s="26" t="str">
        <f>VLOOKUP($A97,Organization!$A$13:$E$67,2,0)&amp;""</f>
        <v>Do you have an implemented system configuration management process (e.g.,secure "gold" images, etc.)?*</v>
      </c>
      <c r="C97" s="52" t="str">
        <f>VLOOKUP($A97,Organization!$A$13:$E$67,3,0)&amp;""</f>
        <v>yes</v>
      </c>
      <c r="D97" s="41" t="str">
        <f>IF(LEFT(VLOOKUP($A97,Organization!$A$13:$E$67,5,0),21)='Auto Responses'!$A$73,'Auto Responses'!$A$74,VLOOKUP($A97,Organization!$A$13:$E$67,4,0))&amp;""</f>
        <v>Server configuration management is provided by hosting provider Liquid Web LLC (SOC 2 certified). America’s Software Corporation does not deploy its own server images; secure configurations and system hardening are managed by the hosting provider.</v>
      </c>
      <c r="E97" s="350" t="str">
        <f>VLOOKUP($A97,Organization!$A$13:$E$67,5,0)&amp;""</f>
        <v>Summarize your implemented system configuration management precess.</v>
      </c>
      <c r="F97" s="202"/>
      <c r="G97" s="37" t="str">
        <f>VLOOKUP($A97,Questions!$A$2:$X$333,21,0)&amp;""</f>
        <v>Yes</v>
      </c>
      <c r="H97" s="192"/>
      <c r="I97" s="52" t="str">
        <f>VLOOKUP($A97,Questions!$A$2:$X$333,23,0)&amp;""</f>
        <v>Critical Importance</v>
      </c>
      <c r="J97" s="192"/>
      <c r="K97" s="55" t="b">
        <v>0</v>
      </c>
      <c r="L97" s="1"/>
    </row>
    <row r="98" spans="1:12" s="36" customFormat="1" ht="51">
      <c r="A98" s="25" t="str">
        <f>Organization!$A$39</f>
        <v>CHNG-04</v>
      </c>
      <c r="B98" s="26" t="str">
        <f>VLOOKUP($A98,Organization!$A$13:$E$67,2,0)&amp;""</f>
        <v>Do you have a documented change management process?</v>
      </c>
      <c r="C98" s="52" t="str">
        <f>VLOOKUP($A98,Organization!$A$13:$E$67,3,0)&amp;""</f>
        <v>yes</v>
      </c>
      <c r="D98" s="41" t="str">
        <f>IF(LEFT(VLOOKUP($A98,Organization!$A$13:$E$67,5,0),21)='Auto Responses'!$A$73,'Auto Responses'!$A$74,VLOOKUP($A98,Organization!$A$13:$E$67,4,0))&amp;""</f>
        <v>All software changes are reviewed, tested in a development environment, and verified before deployment. Releases are designed to preserve customer configuration settings and production data during updates.</v>
      </c>
      <c r="E98" s="350" t="str">
        <f>VLOOKUP($A98,Organization!$A$13:$E$67,5,0)&amp;""</f>
        <v>Summarize your current change management process.</v>
      </c>
      <c r="F98" s="202"/>
      <c r="G98" s="37" t="str">
        <f>VLOOKUP($A98,Questions!$A$2:$X$333,21,0)&amp;""</f>
        <v>Yes</v>
      </c>
      <c r="H98" s="192"/>
      <c r="I98" s="52" t="str">
        <f>VLOOKUP($A98,Questions!$A$2:$X$333,23,0)&amp;""</f>
        <v>Standard Importance</v>
      </c>
      <c r="J98" s="192"/>
      <c r="K98" s="55" t="b">
        <v>0</v>
      </c>
      <c r="L98" s="1"/>
    </row>
    <row r="99" spans="1:12" s="36" customFormat="1" ht="272">
      <c r="A99" s="25" t="str">
        <f>Organization!$A$40</f>
        <v>CHNG-05</v>
      </c>
      <c r="B99" s="26" t="str">
        <f>VLOOKUP($A99,Organization!$A$13:$E$67,2,0)&amp;""</f>
        <v>Does your change management process minimally include authorization, impact analysis, testing, and validation before moving changes to production?</v>
      </c>
      <c r="C99" s="52" t="str">
        <f>VLOOKUP($A99,Organization!$A$13:$E$67,3,0)&amp;""</f>
        <v>yes</v>
      </c>
      <c r="D99" s="41" t="str">
        <f>IF(LEFT(VLOOKUP($A99,Organization!$A$13:$E$67,5,0),21)='Auto Responses'!$A$73,'Auto Responses'!$A$74,VLOOKUP($A99,Organization!$A$13:$E$67,4,0))&amp;""</f>
        <v>System updates do not affect customer data or configuration settings. Client-level settings and data remain intact from one release to the next.”</v>
      </c>
      <c r="E99" s="350" t="str">
        <f>VLOOKUP($A99,Organization!$A$13:$E$67,5,0)&amp;""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99" s="202"/>
      <c r="G99" s="37" t="str">
        <f>VLOOKUP($A99,Questions!$A$2:$X$333,21,0)&amp;""</f>
        <v>Yes</v>
      </c>
      <c r="H99" s="192"/>
      <c r="I99" s="52" t="str">
        <f>VLOOKUP($A99,Questions!$A$2:$X$333,23,0)&amp;""</f>
        <v>Standard Importance</v>
      </c>
      <c r="J99" s="192"/>
      <c r="K99" s="55" t="b">
        <v>0</v>
      </c>
      <c r="L99" s="1"/>
    </row>
    <row r="100" spans="1:12" s="36" customFormat="1" ht="68">
      <c r="A100" s="25" t="str">
        <f>Organization!$A$41</f>
        <v>CHNG-06</v>
      </c>
      <c r="B100" s="26" t="str">
        <f>VLOOKUP($A100,Organization!$A$13:$E$67,2,0)&amp;""</f>
        <v>Does your change management process verify that all required third-party libraries and dependencies are still supported with each major change?</v>
      </c>
      <c r="C100" s="52" t="str">
        <f>VLOOKUP($A100,Organization!$A$13:$E$67,3,0)&amp;""</f>
        <v>yes</v>
      </c>
      <c r="D100" s="41" t="str">
        <f>IF(LEFT(VLOOKUP($A100,Organization!$A$13:$E$67,5,0),21)='Auto Responses'!$A$73,'Auto Responses'!$A$74,VLOOKUP($A100,Organization!$A$13:$E$67,4,0))&amp;""</f>
        <v>Third-party libraries and software dependencies are reviewed during development and prior to major releases. Supported versions are maintained, tested for compatibility, and updated as necessary before deployment to production.</v>
      </c>
      <c r="E100" s="350" t="str">
        <f>VLOOKUP($A100,Organization!$A$13:$E$67,5,0)&amp;""</f>
        <v>Please describe your program to track these dependancies.</v>
      </c>
      <c r="F100" s="202"/>
      <c r="G100" s="37" t="str">
        <f>VLOOKUP($A100,Questions!$A$2:$X$333,21,0)&amp;""</f>
        <v>Yes</v>
      </c>
      <c r="H100" s="192"/>
      <c r="I100" s="52" t="str">
        <f>VLOOKUP($A100,Questions!$A$2:$X$333,23,0)&amp;""</f>
        <v>Standard Importance</v>
      </c>
      <c r="J100" s="192"/>
      <c r="K100" s="55" t="b">
        <v>0</v>
      </c>
      <c r="L100" s="1"/>
    </row>
    <row r="101" spans="1:12" s="36" customFormat="1" ht="238">
      <c r="A101" s="25" t="str">
        <f>Organization!$A$42</f>
        <v>CHNG-07</v>
      </c>
      <c r="B101" s="26" t="str">
        <f>VLOOKUP($A101,Organization!$A$13:$E$67,2,0)&amp;""</f>
        <v>Do you have policy and procedure, currently implemented, managing how critical patches are applied to all systems and applications?</v>
      </c>
      <c r="C101" s="52" t="str">
        <f>VLOOKUP($A101,Organization!$A$13:$E$67,3,0)&amp;""</f>
        <v>yes</v>
      </c>
      <c r="D101" s="41" t="str">
        <f>IF(LEFT(VLOOKUP($A101,Organization!$A$13:$E$67,5,0),21)='Auto Responses'!$A$73,'Auto Responses'!$A$74,VLOOKUP($A101,Organization!$A$13:$E$67,4,0))&amp;""</f>
        <v>Critical system patches are applied by our hosting provider, Liquid Web LLC (SOC 2 certified), as part of managed hosting services. Application patches and updates (TalEval, Discovery Pro) are managed directly by America’s Software Corporation through a controlled development and release process.”</v>
      </c>
      <c r="E101" s="350" t="str">
        <f>VLOOKUP($A101,Organization!$A$13:$E$67,5,0)&amp;""</f>
        <v>Summarize the policy and procedure(s) managing how critical patches are applied to systems and applications.</v>
      </c>
      <c r="F101" s="202"/>
      <c r="G101" s="37" t="str">
        <f>VLOOKUP($A101,Questions!$A$2:$X$333,21,0)&amp;""</f>
        <v>Yes</v>
      </c>
      <c r="H101" s="192"/>
      <c r="I101" s="52" t="str">
        <f>VLOOKUP($A101,Questions!$A$2:$X$333,23,0)&amp;""</f>
        <v>Standard Importance</v>
      </c>
      <c r="J101" s="192"/>
      <c r="K101" s="55" t="b">
        <v>0</v>
      </c>
      <c r="L101" s="1"/>
    </row>
    <row r="102" spans="1:12" s="36" customFormat="1" ht="238">
      <c r="A102" s="25" t="str">
        <f>Organization!$A$43</f>
        <v>CHNG-08</v>
      </c>
      <c r="B102" s="26" t="str">
        <f>VLOOKUP($A102,Organization!$A$13:$E$67,2,0)&amp;""</f>
        <v>Have you implemented policies and procedures that guide how security risks are mitigated until patches can be applied?</v>
      </c>
      <c r="C102" s="52" t="str">
        <f>VLOOKUP($A102,Organization!$A$13:$E$67,3,0)&amp;""</f>
        <v>yes</v>
      </c>
      <c r="D102" s="41" t="str">
        <f>IF(LEFT(VLOOKUP($A102,Organization!$A$13:$E$67,5,0),21)='Auto Responses'!$A$73,'Auto Responses'!$A$74,VLOOKUP($A102,Organization!$A$13:$E$67,4,0))&amp;""</f>
        <v>Critical system patches are applied by our hosting provider, Liquid Web LLC (SOC 2 certified), as part of managed hosting services. Application patches and updates (TalEval, Discovery Pro) are managed directly by America’s Software Corporation through a controlled development and release process.”</v>
      </c>
      <c r="E102" s="350" t="str">
        <f>VLOOKUP($A102,Organization!$A$13:$E$67,5,0)&amp;""</f>
        <v>Summarize the policy and procedure(s) guiding risk mitigation practices before critical patches can be applied.</v>
      </c>
      <c r="F102" s="202"/>
      <c r="G102" s="37" t="str">
        <f>VLOOKUP($A102,Questions!$A$2:$X$333,21,0)&amp;""</f>
        <v>Yes</v>
      </c>
      <c r="H102" s="192"/>
      <c r="I102" s="52" t="str">
        <f>VLOOKUP($A102,Questions!$A$2:$X$333,23,0)&amp;""</f>
        <v>Standard Importance</v>
      </c>
      <c r="J102" s="192"/>
      <c r="K102" s="55" t="b">
        <v>0</v>
      </c>
      <c r="L102" s="1"/>
    </row>
    <row r="103" spans="1:12" s="36" customFormat="1" ht="68">
      <c r="A103" s="25" t="str">
        <f>Organization!$A$44</f>
        <v>CHNG-09</v>
      </c>
      <c r="B103" s="26" t="str">
        <f>VLOOKUP($A103,Organization!$A$13:$E$67,2,0)&amp;""</f>
        <v>Do clients have the option to not participate in or postpone an upgrade to a new release?</v>
      </c>
      <c r="C103" s="52" t="str">
        <f>VLOOKUP($A103,Organization!$A$13:$E$67,3,0)&amp;""</f>
        <v>yes</v>
      </c>
      <c r="D103" s="41" t="str">
        <f>IF(LEFT(VLOOKUP($A103,Organization!$A$13:$E$67,5,0),21)='Auto Responses'!$A$73,'Auto Responses'!$A$74,VLOOKUP($A103,Organization!$A$13:$E$67,4,0))&amp;""</f>
        <v>Programmer will use school id to direct them to older version until they are ready.</v>
      </c>
      <c r="E103" s="350" t="str">
        <f>VLOOKUP($A103,Organization!$A$13:$E$67,5,0)&amp;""</f>
        <v>Provide reference the the process/procedure to manage releases.</v>
      </c>
      <c r="F103" s="202"/>
      <c r="G103" s="37" t="str">
        <f>VLOOKUP($A103,Questions!$A$2:$X$333,21,0)&amp;""</f>
        <v>Yes</v>
      </c>
      <c r="H103" s="192"/>
      <c r="I103" s="52" t="str">
        <f>VLOOKUP($A103,Questions!$A$2:$X$333,23,0)&amp;""</f>
        <v>Minor Importance</v>
      </c>
      <c r="J103" s="192"/>
      <c r="K103" s="55" t="b">
        <v>0</v>
      </c>
      <c r="L103" s="1"/>
    </row>
    <row r="104" spans="1:12" s="36" customFormat="1" ht="187">
      <c r="A104" s="25" t="str">
        <f>Organization!$A$45</f>
        <v>CHNG-10</v>
      </c>
      <c r="B104" s="26" t="str">
        <f>VLOOKUP($A104,Organization!$A$13:$E$67,2,0)&amp;""</f>
        <v>Do you have a fully implemented solution support strategy that defines how many concurrent versions you support?</v>
      </c>
      <c r="C104" s="52" t="str">
        <f>VLOOKUP($A104,Organization!$A$13:$E$67,3,0)&amp;""</f>
        <v>yes</v>
      </c>
      <c r="D104" s="41" t="str">
        <f>IF(LEFT(VLOOKUP($A104,Organization!$A$13:$E$67,5,0),21)='Auto Responses'!$A$73,'Auto Responses'!$A$74,VLOOKUP($A104,Organization!$A$13:$E$67,4,0))&amp;""</f>
        <v>As a web-based solution, all customers use the current production version hosted by America’s Software Corporation. Only one live version is supported at a time. Customers automatically receive all updates as part of the hosted service.</v>
      </c>
      <c r="E104" s="350" t="str">
        <f>VLOOKUP($A104,Organization!$A$13:$E$67,5,0)&amp;""</f>
        <v>Describe or provide a reference to your solution support strategy in regard to maintaining software currency (i.e., how many concurrent versions are you willing to run and support?).</v>
      </c>
      <c r="F104" s="202"/>
      <c r="G104" s="37" t="str">
        <f>VLOOKUP($A104,Questions!$A$2:$X$333,21,0)&amp;""</f>
        <v>Yes</v>
      </c>
      <c r="H104" s="192"/>
      <c r="I104" s="52" t="str">
        <f>VLOOKUP($A104,Questions!$A$2:$X$333,23,0)&amp;""</f>
        <v>Minor Importance</v>
      </c>
      <c r="J104" s="192"/>
      <c r="K104" s="55" t="b">
        <v>0</v>
      </c>
      <c r="L104" s="1"/>
    </row>
    <row r="105" spans="1:12" s="36" customFormat="1" ht="51">
      <c r="A105" s="25" t="str">
        <f>Organization!$A$46</f>
        <v>CHNG-11</v>
      </c>
      <c r="B105" s="26" t="str">
        <f>VLOOKUP($A105,Organization!$A$13:$E$67,2,0)&amp;""</f>
        <v>Do you have a release schedule for product updates?</v>
      </c>
      <c r="C105" s="52" t="str">
        <f>VLOOKUP($A105,Organization!$A$13:$E$67,3,0)&amp;""</f>
        <v>Yes</v>
      </c>
      <c r="D105" s="41" t="str">
        <f>IF(LEFT(VLOOKUP($A105,Organization!$A$13:$E$67,5,0),21)='Auto Responses'!$A$73,'Auto Responses'!$A$74,VLOOKUP($A105,Organization!$A$13:$E$67,4,0))&amp;""</f>
        <v>WORD document with proposed dates on releases</v>
      </c>
      <c r="E105" s="350" t="str">
        <f>VLOOKUP($A105,Organization!$A$13:$E$67,5,0)&amp;""</f>
        <v>Provide a reference to this solution's release schedule.</v>
      </c>
      <c r="F105" s="202"/>
      <c r="G105" s="37" t="str">
        <f>VLOOKUP($A105,Questions!$A$2:$X$333,21,0)&amp;""</f>
        <v>Yes</v>
      </c>
      <c r="H105" s="192"/>
      <c r="I105" s="52" t="str">
        <f>VLOOKUP($A105,Questions!$A$2:$X$333,23,0)&amp;""</f>
        <v>Minor Importance</v>
      </c>
      <c r="J105" s="192"/>
      <c r="K105" s="55" t="b">
        <v>0</v>
      </c>
      <c r="L105" s="1"/>
    </row>
    <row r="106" spans="1:12" s="36" customFormat="1" ht="238">
      <c r="A106" s="25" t="str">
        <f>Organization!$A$47</f>
        <v>CHNG-12</v>
      </c>
      <c r="B106" s="26" t="str">
        <f>VLOOKUP($A106,Organization!$A$13:$E$67,2,0)&amp;""</f>
        <v>Do you have a technology roadmap, for at least the next two years, for enhancements and bug fixes for the solution being assessed?</v>
      </c>
      <c r="C106" s="52" t="str">
        <f>VLOOKUP($A106,Organization!$A$13:$E$67,3,0)&amp;""</f>
        <v>yes</v>
      </c>
      <c r="D106" s="41" t="str">
        <f>IF(LEFT(VLOOKUP($A106,Organization!$A$13:$E$67,5,0),21)='Auto Responses'!$A$73,'Auto Responses'!$A$74,VLOOKUP($A106,Organization!$A$13:$E$67,4,0))&amp;""</f>
        <v>Rewrite Discovery Pro from the ground up on modern web frameworks. Improve performance, security and reliability.Streamline user interface for easier navigation. Ensure strong accessibility compliance (WCAG 2.1).  Collect customer feedback and release incremental feature updates quarterly.</v>
      </c>
      <c r="E106" s="350" t="str">
        <f>VLOOKUP($A106,Organization!$A$13:$E$67,5,0)&amp;""</f>
        <v>Provide a reference to your technology roadmap.</v>
      </c>
      <c r="F106" s="202"/>
      <c r="G106" s="37" t="str">
        <f>VLOOKUP($A106,Questions!$A$2:$X$333,21,0)&amp;""</f>
        <v>Yes</v>
      </c>
      <c r="H106" s="192"/>
      <c r="I106" s="52" t="str">
        <f>VLOOKUP($A106,Questions!$A$2:$X$333,23,0)&amp;""</f>
        <v>Minor Importance</v>
      </c>
      <c r="J106" s="192"/>
      <c r="K106" s="55" t="b">
        <v>0</v>
      </c>
      <c r="L106" s="1"/>
    </row>
    <row r="107" spans="1:12" s="36" customFormat="1" ht="30">
      <c r="A107" s="25" t="str">
        <f>Organization!$A$48</f>
        <v>CHNG-13</v>
      </c>
      <c r="B107" s="26" t="str">
        <f>VLOOKUP($A107,Organization!$A$13:$E$67,2,0)&amp;""</f>
        <v>Can solution updates be completed without institutional involvement (i.e., technically or organizationally)?</v>
      </c>
      <c r="C107" s="52" t="str">
        <f>VLOOKUP($A107,Organization!$A$13:$E$67,3,0)&amp;""</f>
        <v>yes</v>
      </c>
      <c r="D107" s="41" t="str">
        <f>IF(LEFT(VLOOKUP($A107,Organization!$A$13:$E$67,5,0),21)='Auto Responses'!$A$73,'Auto Responses'!$A$74,VLOOKUP($A107,Organization!$A$13:$E$67,4,0))&amp;""</f>
        <v/>
      </c>
      <c r="E107" s="350" t="str">
        <f>VLOOKUP($A107,Organization!$A$13:$E$67,5,0)&amp;""</f>
        <v/>
      </c>
      <c r="F107" s="202"/>
      <c r="G107" s="37" t="str">
        <f>VLOOKUP($A107,Questions!$A$2:$X$333,21,0)&amp;""</f>
        <v>Yes</v>
      </c>
      <c r="H107" s="192"/>
      <c r="I107" s="52" t="str">
        <f>VLOOKUP($A107,Questions!$A$2:$X$333,23,0)&amp;""</f>
        <v>Minor Importance</v>
      </c>
      <c r="J107" s="192"/>
      <c r="K107" s="55" t="b">
        <v>0</v>
      </c>
      <c r="L107" s="1"/>
    </row>
    <row r="108" spans="1:12" s="36" customFormat="1" ht="51">
      <c r="A108" s="25" t="str">
        <f>Organization!$A$49</f>
        <v>CHNG-14</v>
      </c>
      <c r="B108" s="26" t="str">
        <f>VLOOKUP($A108,Organization!$A$13:$E$67,2,0)&amp;""</f>
        <v>Are upgrades or system changes installed during off-peak hours or in a manner that does not impact the customer?</v>
      </c>
      <c r="C108" s="52" t="str">
        <f>VLOOKUP($A108,Organization!$A$13:$E$67,3,0)&amp;""</f>
        <v>yes</v>
      </c>
      <c r="D108" s="41" t="str">
        <f>IF(LEFT(VLOOKUP($A108,Organization!$A$13:$E$67,5,0),21)='Auto Responses'!$A$73,'Auto Responses'!$A$74,VLOOKUP($A108,Organization!$A$13:$E$67,4,0))&amp;""</f>
        <v>after midnight eastern time</v>
      </c>
      <c r="E108" s="350" t="str">
        <f>VLOOKUP($A108,Organization!$A$13:$E$67,5,0)&amp;""</f>
        <v>Define current off-peak hours, including time zones as necessary.</v>
      </c>
      <c r="F108" s="202"/>
      <c r="G108" s="37" t="str">
        <f>VLOOKUP($A108,Questions!$A$2:$X$333,21,0)&amp;""</f>
        <v>Yes</v>
      </c>
      <c r="H108" s="192"/>
      <c r="I108" s="52" t="str">
        <f>VLOOKUP($A108,Questions!$A$2:$X$333,23,0)&amp;""</f>
        <v>Minor Importance</v>
      </c>
      <c r="J108" s="192"/>
      <c r="K108" s="55" t="b">
        <v>0</v>
      </c>
      <c r="L108" s="1"/>
    </row>
    <row r="109" spans="1:12" s="36" customFormat="1" ht="238">
      <c r="A109" s="25" t="str">
        <f>Organization!$A$50</f>
        <v>CHNG-15</v>
      </c>
      <c r="B109" s="26" t="str">
        <f>VLOOKUP($A109,Organization!$A$13:$E$67,2,0)&amp;""</f>
        <v>Do procedures exist to provide that emergency changes are documented and authorized (including after-the-fact approval)?</v>
      </c>
      <c r="C109" s="52" t="str">
        <f>VLOOKUP($A109,Organization!$A$13:$E$67,3,0)&amp;""</f>
        <v>yes</v>
      </c>
      <c r="D109" s="41" t="str">
        <f>IF(LEFT(VLOOKUP($A109,Organization!$A$13:$E$67,5,0),21)='Auto Responses'!$A$73,'Auto Responses'!$A$74,VLOOKUP($A109,Organization!$A$13:$E$67,4,0))&amp;""</f>
        <v>Emergency changes are rare but, when required, they are documented by the system administrator (date, description, reason). As the sole administrator, approval is inherently centralized. Hosting provider Liquid Web LLC manages infrastructure-level emergency changes under SOC-audited processes</v>
      </c>
      <c r="E109" s="350" t="str">
        <f>VLOOKUP($A109,Organization!$A$13:$E$67,5,0)&amp;""</f>
        <v>Summarize implemented procedures ensuring that emergency changes are documented and authorized.</v>
      </c>
      <c r="F109" s="202"/>
      <c r="G109" s="37" t="str">
        <f>VLOOKUP($A109,Questions!$A$2:$X$333,21,0)&amp;""</f>
        <v>Yes</v>
      </c>
      <c r="H109" s="192"/>
      <c r="I109" s="52" t="str">
        <f>VLOOKUP($A109,Questions!$A$2:$X$333,23,0)&amp;""</f>
        <v>Minor Importance</v>
      </c>
      <c r="J109" s="192"/>
      <c r="K109" s="55" t="b">
        <v>0</v>
      </c>
      <c r="L109" s="1"/>
    </row>
    <row r="110" spans="1:12" s="36" customFormat="1" ht="68">
      <c r="A110" s="25" t="str">
        <f>Organization!$A$51</f>
        <v>CHNG-16</v>
      </c>
      <c r="B110" s="26" t="str">
        <f>VLOOKUP($A110,Organization!$A$13:$E$67,2,0)&amp;""</f>
        <v>Do you have a systems management and configuration strategy that encompasses servers, appliances, cloud services, applications, and mobile devices (company and employee owned)?</v>
      </c>
      <c r="C110" s="52" t="str">
        <f>VLOOKUP($A110,Organization!$A$13:$E$67,3,0)&amp;""</f>
        <v>yes</v>
      </c>
      <c r="D110" s="41" t="str">
        <f>IF(LEFT(VLOOKUP($A110,Organization!$A$13:$E$67,5,0),21)='Auto Responses'!$A$73,'Auto Responses'!$A$74,VLOOKUP($A110,Organization!$A$13:$E$67,4,0))&amp;""</f>
        <v>Please see privacy terms and conditions attached.</v>
      </c>
      <c r="E110" s="350" t="str">
        <f>VLOOKUP($A110,Organization!$A$13:$E$67,5,0)&amp;""</f>
        <v>Summarize your systems management and configuration strategy.</v>
      </c>
      <c r="F110" s="202"/>
      <c r="G110" s="37" t="str">
        <f>VLOOKUP($A110,Questions!$A$2:$X$333,21,0)&amp;""</f>
        <v>Yes</v>
      </c>
      <c r="H110" s="192"/>
      <c r="I110" s="52" t="str">
        <f>VLOOKUP($A110,Questions!$A$2:$X$333,23,0)&amp;""</f>
        <v>Minor Importance</v>
      </c>
      <c r="J110" s="192"/>
      <c r="K110" s="55" t="b">
        <v>0</v>
      </c>
      <c r="L110" s="1"/>
    </row>
    <row r="111" spans="1:12" s="1" customFormat="1" ht="18">
      <c r="A111" s="70" t="str">
        <f>VLOOKUP(LEFT($A112,4),'Auto Responses'!$N$4:$O$38,2,0)&amp;""</f>
        <v xml:space="preserve"> Policies, Processes, and Procedures</v>
      </c>
      <c r="B111" s="29"/>
      <c r="C111" s="38"/>
      <c r="D111" s="38"/>
      <c r="E111" s="351"/>
      <c r="F111" s="139" t="s">
        <v>1089</v>
      </c>
      <c r="G111" s="358" t="s">
        <v>925</v>
      </c>
      <c r="H111" s="358" t="s">
        <v>927</v>
      </c>
      <c r="I111" s="358" t="s">
        <v>19</v>
      </c>
      <c r="J111" s="358" t="s">
        <v>912</v>
      </c>
      <c r="K111" s="38"/>
    </row>
    <row r="112" spans="1:12" s="36" customFormat="1" ht="17">
      <c r="A112" s="25" t="str">
        <f>Organization!$A$53</f>
        <v>PPPR-01</v>
      </c>
      <c r="B112" s="26" t="str">
        <f>VLOOKUP($A112,Organization!$A$13:$E$67,2,0)&amp;""</f>
        <v>Do you have a documented patch management process?*</v>
      </c>
      <c r="C112" s="52" t="str">
        <f>VLOOKUP($A112,Organization!$A$13:$E$67,3,0)&amp;""</f>
        <v>yes</v>
      </c>
      <c r="D112" s="41" t="str">
        <f>IF(LEFT(VLOOKUP($A112,Organization!$A$13:$E$67,5,0),21)='Auto Responses'!$A$73,'Auto Responses'!$A$74,VLOOKUP($A112,Organization!$A$13:$E$67,4,0))&amp;""</f>
        <v/>
      </c>
      <c r="E112" s="350" t="str">
        <f>VLOOKUP($A112,Organization!$A$13:$E$67,5,0)&amp;""</f>
        <v/>
      </c>
      <c r="F112" s="202"/>
      <c r="G112" s="37" t="str">
        <f>VLOOKUP($A112,Questions!$A$2:$X$333,21,0)&amp;""</f>
        <v>Yes</v>
      </c>
      <c r="H112" s="192"/>
      <c r="I112" s="52" t="str">
        <f>VLOOKUP($A112,Questions!$A$2:$X$333,23,0)&amp;""</f>
        <v>Critical Importance</v>
      </c>
      <c r="J112" s="192"/>
      <c r="K112" s="55" t="b">
        <v>0</v>
      </c>
      <c r="L112" s="1"/>
    </row>
    <row r="113" spans="1:12" s="36" customFormat="1" ht="102">
      <c r="A113" s="25" t="str">
        <f>Organization!$A$54</f>
        <v>PPPR-02</v>
      </c>
      <c r="B113" s="26" t="str">
        <f>VLOOKUP($A113,Organization!$A$13:$E$67,2,0)&amp;""</f>
        <v>Can your organization comply with institutional policies on privacy and data protection with regard to users of institutional systems, if required?*</v>
      </c>
      <c r="C113" s="52" t="str">
        <f>VLOOKUP($A113,Organization!$A$13:$E$67,3,0)&amp;""</f>
        <v>yes</v>
      </c>
      <c r="D113" s="41" t="str">
        <f>IF(LEFT(VLOOKUP($A113,Organization!$A$13:$E$67,5,0),21)='Auto Responses'!$A$73,'Auto Responses'!$A$74,VLOOKUP($A113,Organization!$A$13:$E$67,4,0))&amp;""</f>
        <v>Handled by hosting provider (Liquid Web LLC, SOC 2 report available)”.</v>
      </c>
      <c r="E113" s="350" t="str">
        <f>VLOOKUP($A113,Organization!$A$13:$E$67,5,0)&amp;""</f>
        <v>State that you have reviewed the institution's IT policies with regards to user privacy and data protection.</v>
      </c>
      <c r="F113" s="202"/>
      <c r="G113" s="37" t="str">
        <f>VLOOKUP($A113,Questions!$A$2:$X$333,21,0)&amp;""</f>
        <v>Yes</v>
      </c>
      <c r="H113" s="192"/>
      <c r="I113" s="52" t="str">
        <f>VLOOKUP($A113,Questions!$A$2:$X$333,23,0)&amp;""</f>
        <v>Critical Importance</v>
      </c>
      <c r="J113" s="192"/>
      <c r="K113" s="55" t="b">
        <v>0</v>
      </c>
      <c r="L113" s="1"/>
    </row>
    <row r="114" spans="1:12" s="36" customFormat="1" ht="30">
      <c r="A114" s="25" t="str">
        <f>Organization!$A$55</f>
        <v>PPPR-03</v>
      </c>
      <c r="B114" s="26" t="str">
        <f>VLOOKUP($A114,Organization!$A$13:$E$67,2,0)&amp;""</f>
        <v>Is your company subject to the institution's geographic region's laws and regulations?*</v>
      </c>
      <c r="C114" s="52" t="str">
        <f>VLOOKUP($A114,Organization!$A$13:$E$67,3,0)&amp;""</f>
        <v>yes</v>
      </c>
      <c r="D114" s="41" t="str">
        <f>IF(LEFT(VLOOKUP($A114,Organization!$A$13:$E$67,5,0),21)='Auto Responses'!$A$73,'Auto Responses'!$A$74,VLOOKUP($A114,Organization!$A$13:$E$67,4,0))&amp;""</f>
        <v/>
      </c>
      <c r="E114" s="350" t="str">
        <f>VLOOKUP($A114,Organization!$A$13:$E$67,5,0)&amp;""</f>
        <v/>
      </c>
      <c r="F114" s="202"/>
      <c r="G114" s="37" t="str">
        <f>VLOOKUP($A114,Questions!$A$2:$X$333,21,0)&amp;""</f>
        <v>Yes</v>
      </c>
      <c r="H114" s="192"/>
      <c r="I114" s="52" t="str">
        <f>VLOOKUP($A114,Questions!$A$2:$X$333,23,0)&amp;""</f>
        <v>Critical Importance</v>
      </c>
      <c r="J114" s="192"/>
      <c r="K114" s="55" t="b">
        <v>0</v>
      </c>
      <c r="L114" s="1"/>
    </row>
    <row r="115" spans="1:12" s="36" customFormat="1" ht="17">
      <c r="A115" s="25" t="str">
        <f>Organization!$A$56</f>
        <v>PPPR-04</v>
      </c>
      <c r="B115" s="26" t="str">
        <f>VLOOKUP($A115,Organization!$A$13:$E$67,2,0)&amp;""</f>
        <v>Can you accommodate encryption requirements using open standards?</v>
      </c>
      <c r="C115" s="52" t="str">
        <f>VLOOKUP($A115,Organization!$A$13:$E$67,3,0)&amp;""</f>
        <v>yes</v>
      </c>
      <c r="D115" s="41" t="str">
        <f>IF(LEFT(VLOOKUP($A115,Organization!$A$13:$E$67,5,0),21)='Auto Responses'!$A$73,'Auto Responses'!$A$74,VLOOKUP($A115,Organization!$A$13:$E$67,4,0))&amp;""</f>
        <v/>
      </c>
      <c r="E115" s="350" t="str">
        <f>VLOOKUP($A115,Organization!$A$13:$E$67,5,0)&amp;""</f>
        <v/>
      </c>
      <c r="F115" s="202"/>
      <c r="G115" s="37" t="str">
        <f>VLOOKUP($A115,Questions!$A$2:$X$333,21,0)&amp;""</f>
        <v>Yes</v>
      </c>
      <c r="H115" s="192"/>
      <c r="I115" s="52" t="str">
        <f>VLOOKUP($A115,Questions!$A$2:$X$333,23,0)&amp;""</f>
        <v>Standard Importance</v>
      </c>
      <c r="J115" s="192"/>
      <c r="K115" s="55" t="b">
        <v>0</v>
      </c>
      <c r="L115" s="1"/>
    </row>
    <row r="116" spans="1:12" s="36" customFormat="1" ht="221">
      <c r="A116" s="25" t="str">
        <f>Organization!$A$57</f>
        <v>PPPR-05</v>
      </c>
      <c r="B116" s="26" t="str">
        <f>VLOOKUP($A116,Organization!$A$13:$E$67,2,0)&amp;""</f>
        <v>Do you have a documented systems development life cycle (SDLC)?</v>
      </c>
      <c r="C116" s="52" t="str">
        <f>VLOOKUP($A116,Organization!$A$13:$E$67,3,0)&amp;""</f>
        <v>yes</v>
      </c>
      <c r="D116" s="41" t="str">
        <f>IF(LEFT(VLOOKUP($A116,Organization!$A$13:$E$67,5,0),21)='Auto Responses'!$A$73,'Auto Responses'!$A$74,VLOOKUP($A116,Organization!$A$13:$E$67,4,0))&amp;""</f>
        <v>We follow a documented systems development life cycle (SDLC) including requirements gathering, design, development, testing, deployment, and ongoing maintenance. Code changes are tested prior to release, and updates do not affect customer data or configurations</v>
      </c>
      <c r="E116" s="350" t="str">
        <f>VLOOKUP($A116,Organization!$A$13:$E$67,5,0)&amp;""</f>
        <v>Briefly summarize your SDLC or provide a link or attachment.</v>
      </c>
      <c r="F116" s="202"/>
      <c r="G116" s="37" t="str">
        <f>VLOOKUP($A116,Questions!$A$2:$X$333,21,0)&amp;""</f>
        <v>Yes</v>
      </c>
      <c r="H116" s="192"/>
      <c r="I116" s="52" t="str">
        <f>VLOOKUP($A116,Questions!$A$2:$X$333,23,0)&amp;""</f>
        <v>Standard Importance</v>
      </c>
      <c r="J116" s="192"/>
      <c r="K116" s="55" t="b">
        <v>0</v>
      </c>
      <c r="L116" s="1"/>
    </row>
    <row r="117" spans="1:12" s="36" customFormat="1" ht="68">
      <c r="A117" s="25" t="str">
        <f>Organization!$A$58</f>
        <v>PPPR-06</v>
      </c>
      <c r="B117" s="26" t="str">
        <f>VLOOKUP($A117,Organization!$A$13:$E$67,2,0)&amp;""</f>
        <v>Do you perform background screenings or multi-state background checks on all employees prior to their first day of work?</v>
      </c>
      <c r="C117" s="52" t="str">
        <f>VLOOKUP($A117,Organization!$A$13:$E$67,3,0)&amp;""</f>
        <v>no</v>
      </c>
      <c r="D117" s="41" t="str">
        <f>IF(LEFT(VLOOKUP($A117,Organization!$A$13:$E$67,5,0),21)='Auto Responses'!$A$73,'Auto Responses'!$A$74,VLOOKUP($A117,Organization!$A$13:$E$67,4,0))&amp;""</f>
        <v>America's Software Corporation is a small business and does not currently conduct formal background screenings as part of its hiring process. Access to company systems and customer data is granted only to trusted, authorized personnel based on job responsibilities.</v>
      </c>
      <c r="E117" s="350" t="str">
        <f>VLOOKUP($A117,Organization!$A$13:$E$67,5,0)&amp;""</f>
        <v>State plans to implement background check elements into your hiring process.</v>
      </c>
      <c r="F117" s="202"/>
      <c r="G117" s="37" t="str">
        <f>VLOOKUP($A117,Questions!$A$2:$X$333,21,0)&amp;""</f>
        <v>Yes</v>
      </c>
      <c r="H117" s="192"/>
      <c r="I117" s="52" t="str">
        <f>VLOOKUP($A117,Questions!$A$2:$X$333,23,0)&amp;""</f>
        <v>Standard Importance</v>
      </c>
      <c r="J117" s="192"/>
      <c r="K117" s="55" t="b">
        <v>0</v>
      </c>
      <c r="L117" s="1"/>
    </row>
    <row r="118" spans="1:12" s="36" customFormat="1" ht="119">
      <c r="A118" s="25" t="str">
        <f>Organization!$A$59</f>
        <v>PPPR-07</v>
      </c>
      <c r="B118" s="26" t="str">
        <f>VLOOKUP($A118,Organization!$A$13:$E$67,2,0)&amp;""</f>
        <v>Do you require new employees to fill out agreements and review policies?</v>
      </c>
      <c r="C118" s="52" t="str">
        <f>VLOOKUP($A118,Organization!$A$13:$E$67,3,0)&amp;""</f>
        <v>yes</v>
      </c>
      <c r="D118" s="41" t="str">
        <f>IF(LEFT(VLOOKUP($A118,Organization!$A$13:$E$67,5,0),21)='Auto Responses'!$A$73,'Auto Responses'!$A$74,VLOOKUP($A118,Organization!$A$13:$E$67,4,0))&amp;""</f>
        <v>Yes. Personnel with access to company systems or customer information are required to review applicable company policies and confidentiality requirements before access is granted.</v>
      </c>
      <c r="E118" s="350" t="str">
        <f>VLOOKUP($A118,Organization!$A$13:$E$67,5,0)&amp;""</f>
        <v>Summarize the required agreements and reviewed policies.</v>
      </c>
      <c r="F118" s="202"/>
      <c r="G118" s="37" t="str">
        <f>VLOOKUP($A118,Questions!$A$2:$X$333,21,0)&amp;""</f>
        <v>Yes</v>
      </c>
      <c r="H118" s="192"/>
      <c r="I118" s="52" t="str">
        <f>VLOOKUP($A118,Questions!$A$2:$X$333,23,0)&amp;""</f>
        <v>Standard Importance</v>
      </c>
      <c r="J118" s="192"/>
      <c r="K118" s="55" t="b">
        <v>0</v>
      </c>
      <c r="L118" s="1"/>
    </row>
    <row r="119" spans="1:12" s="36" customFormat="1" ht="409.6">
      <c r="A119" s="25" t="str">
        <f>Organization!$A$60</f>
        <v>PPPR-08</v>
      </c>
      <c r="B119" s="26" t="str">
        <f>VLOOKUP($A119,Organization!$A$13:$E$67,2,0)&amp;""</f>
        <v>Do you have a documented information security policy?</v>
      </c>
      <c r="C119" s="52" t="str">
        <f>VLOOKUP($A119,Organization!$A$13:$E$67,3,0)&amp;""</f>
        <v>yes</v>
      </c>
      <c r="D119" s="41" t="str">
        <f>IF(LEFT(VLOOKUP($A119,Organization!$A$13:$E$67,5,0),21)='Auto Responses'!$A$73,'Auto Responses'!$A$74,VLOOKUP($A119,Organization!$A$13:$E$67,4,0))&amp;""</f>
        <v xml:space="preserve">America’s Software Corporation is committed to protecting customer and institutional data through appropriate security, privacy, and compliance measures. This Information Security Policy consolidates our security, privacy, and operational policies as outlined in our Terms and Conditions and Privacy Statement. 1. Data Ownership &amp; Privacy Customers retain ownership of their data. America’s Software Corporation will not license, disclose, sell, or share information gathered through Taleval.com or OnlineDiscoveryPro.com except by court order. No data is shared with third parties. </v>
      </c>
      <c r="E119" s="350" t="str">
        <f>VLOOKUP($A119,Organization!$A$13:$E$67,5,0)&amp;""</f>
        <v>Provide a reference to your information security policy or submit documentation with this fully populated HECVAT.</v>
      </c>
      <c r="F119" s="202"/>
      <c r="G119" s="37" t="str">
        <f>VLOOKUP($A119,Questions!$A$2:$X$333,21,0)&amp;""</f>
        <v>Yes</v>
      </c>
      <c r="H119" s="192"/>
      <c r="I119" s="52" t="str">
        <f>VLOOKUP($A119,Questions!$A$2:$X$333,23,0)&amp;""</f>
        <v>Standard Importance</v>
      </c>
      <c r="J119" s="192"/>
      <c r="K119" s="55" t="b">
        <v>0</v>
      </c>
      <c r="L119" s="1"/>
    </row>
    <row r="120" spans="1:12" s="36" customFormat="1" ht="255">
      <c r="A120" s="25" t="str">
        <f>Organization!$A$61</f>
        <v>PPPR-09</v>
      </c>
      <c r="B120" s="26" t="str">
        <f>VLOOKUP($A120,Organization!$A$13:$E$67,2,0)&amp;""</f>
        <v>Are information security principles designed into the product lifecycle?</v>
      </c>
      <c r="C120" s="52" t="str">
        <f>VLOOKUP($A120,Organization!$A$13:$E$67,3,0)&amp;""</f>
        <v>yes</v>
      </c>
      <c r="D120" s="41" t="str">
        <f>IF(LEFT(VLOOKUP($A120,Organization!$A$13:$E$67,5,0),21)='Auto Responses'!$A$73,'Auto Responses'!$A$74,VLOOKUP($A120,Organization!$A$13:$E$67,4,0))&amp;""</f>
        <v>Security is incorporated into the product lifecycle from design through release. ASC applies secure coding practices, encrypts data in transit and at rest, and uses automated vulnerability scanning (ImmuniWeb) before new releases. Authentication and access controls are designed into the system rather than added afterward.</v>
      </c>
      <c r="E120" s="350" t="str">
        <f>VLOOKUP($A120,Organization!$A$13:$E$67,5,0)&amp;""</f>
        <v>Summarize the information security principles designed into the product lifecycle.</v>
      </c>
      <c r="F120" s="202"/>
      <c r="G120" s="37" t="str">
        <f>VLOOKUP($A120,Questions!$A$2:$X$333,21,0)&amp;""</f>
        <v>Yes</v>
      </c>
      <c r="H120" s="192"/>
      <c r="I120" s="52" t="str">
        <f>VLOOKUP($A120,Questions!$A$2:$X$333,23,0)&amp;""</f>
        <v>Minor Importance</v>
      </c>
      <c r="J120" s="192"/>
      <c r="K120" s="55" t="b">
        <v>0</v>
      </c>
      <c r="L120" s="1"/>
    </row>
    <row r="121" spans="1:12" s="36" customFormat="1" ht="68">
      <c r="A121" s="25" t="str">
        <f>Organization!$A$62</f>
        <v>PPPR-10</v>
      </c>
      <c r="B121" s="26" t="str">
        <f>VLOOKUP($A121,Organization!$A$13:$E$67,2,0)&amp;""</f>
        <v>Will you comply with applicable breach notification laws?</v>
      </c>
      <c r="C121" s="52" t="str">
        <f>VLOOKUP($A121,Organization!$A$13:$E$67,3,0)&amp;""</f>
        <v>yes</v>
      </c>
      <c r="D121" s="41" t="str">
        <f>IF(LEFT(VLOOKUP($A121,Organization!$A$13:$E$67,5,0),21)='Auto Responses'!$A$73,'Auto Responses'!$A$74,VLOOKUP($A121,Organization!$A$13:$E$67,4,0))&amp;""</f>
        <v>within 2 days of report of breach.</v>
      </c>
      <c r="E121" s="350" t="str">
        <f>VLOOKUP($A121,Organization!$A$13:$E$67,5,0)&amp;""</f>
        <v>State how quickly the institution will be notified of a data breach or security incident.</v>
      </c>
      <c r="F121" s="202"/>
      <c r="G121" s="37" t="str">
        <f>VLOOKUP($A121,Questions!$A$2:$X$333,21,0)&amp;""</f>
        <v>Yes</v>
      </c>
      <c r="H121" s="192"/>
      <c r="I121" s="52" t="str">
        <f>VLOOKUP($A121,Questions!$A$2:$X$333,23,0)&amp;""</f>
        <v>Minor Importance</v>
      </c>
      <c r="J121" s="192"/>
      <c r="K121" s="55" t="b">
        <v>0</v>
      </c>
      <c r="L121" s="1"/>
    </row>
    <row r="122" spans="1:12" s="36" customFormat="1" ht="119">
      <c r="A122" s="25" t="str">
        <f>Organization!$A$63</f>
        <v>PPPR-11</v>
      </c>
      <c r="B122" s="26" t="str">
        <f>VLOOKUP($A122,Organization!$A$13:$E$67,2,0)&amp;""</f>
        <v>Do you have an information security awareness program?</v>
      </c>
      <c r="C122" s="52" t="str">
        <f>VLOOKUP($A122,Organization!$A$13:$E$67,3,0)&amp;""</f>
        <v>yes</v>
      </c>
      <c r="D122" s="41" t="str">
        <f>IF(LEFT(VLOOKUP($A122,Organization!$A$13:$E$67,5,0),21)='Auto Responses'!$A$73,'Auto Responses'!$A$74,VLOOKUP($A122,Organization!$A$13:$E$67,4,0))&amp;""</f>
        <v>Policies governing data handling, breach notification, and access are documented and followed by the system owner/operator and contracto</v>
      </c>
      <c r="E122" s="350" t="str">
        <f>VLOOKUP($A122,Organization!$A$13:$E$67,5,0)&amp;""</f>
        <v>Summarize your information security awareness program.</v>
      </c>
      <c r="F122" s="202"/>
      <c r="G122" s="37" t="str">
        <f>VLOOKUP($A122,Questions!$A$2:$X$333,21,0)&amp;""</f>
        <v>Yes</v>
      </c>
      <c r="H122" s="192"/>
      <c r="I122" s="52" t="str">
        <f>VLOOKUP($A122,Questions!$A$2:$X$333,23,0)&amp;""</f>
        <v>Minor Importance</v>
      </c>
      <c r="J122" s="192"/>
      <c r="K122" s="55" t="b">
        <v>0</v>
      </c>
      <c r="L122" s="1"/>
    </row>
    <row r="123" spans="1:12" s="36" customFormat="1" ht="68">
      <c r="A123" s="25" t="str">
        <f>Organization!$A$64</f>
        <v>PPPR-12</v>
      </c>
      <c r="B123" s="26" t="str">
        <f>VLOOKUP($A123,Organization!$A$13:$E$67,2,0)&amp;""</f>
        <v>Is security awareness training mandatory for all employees?</v>
      </c>
      <c r="C123" s="52" t="str">
        <f>VLOOKUP($A123,Organization!$A$13:$E$67,3,0)&amp;""</f>
        <v>yes</v>
      </c>
      <c r="D123" s="41" t="str">
        <f>IF(LEFT(VLOOKUP($A123,Organization!$A$13:$E$67,5,0),21)='Auto Responses'!$A$73,'Auto Responses'!$A$74,VLOOKUP($A123,Organization!$A$13:$E$67,4,0))&amp;""</f>
        <v>Security awareness is reviewed with all personnel who have access to company systems or customer data. Due to the company's small size, this training is conducted internally rather than through a formal corporate training program.</v>
      </c>
      <c r="E123" s="350" t="str">
        <f>VLOOKUP($A123,Organization!$A$13:$E$67,5,0)&amp;""</f>
        <v>Summarize your security awareness training content and state how frequently employees are required to undergo security awareness training.</v>
      </c>
      <c r="F123" s="202"/>
      <c r="G123" s="37" t="str">
        <f>VLOOKUP($A123,Questions!$A$2:$X$333,21,0)&amp;""</f>
        <v>Yes</v>
      </c>
      <c r="H123" s="192"/>
      <c r="I123" s="52" t="str">
        <f>VLOOKUP($A123,Questions!$A$2:$X$333,23,0)&amp;""</f>
        <v>Minor Importance</v>
      </c>
      <c r="J123" s="192"/>
      <c r="K123" s="55" t="b">
        <v>0</v>
      </c>
      <c r="L123" s="1"/>
    </row>
    <row r="124" spans="1:12" s="36" customFormat="1" ht="187">
      <c r="A124" s="25" t="str">
        <f>Organization!$A$65</f>
        <v>PPPR-13</v>
      </c>
      <c r="B124" s="26" t="str">
        <f>VLOOKUP($A124,Organization!$A$13:$E$67,2,0)&amp;""</f>
        <v>Do you have process and procedure(s) documented, and currently followed, that require a review and update of the access list(s) for privileged accounts?</v>
      </c>
      <c r="C124" s="52" t="str">
        <f>VLOOKUP($A124,Organization!$A$13:$E$67,3,0)&amp;""</f>
        <v>yes</v>
      </c>
      <c r="D124" s="41" t="str">
        <f>IF(LEFT(VLOOKUP($A124,Organization!$A$13:$E$67,5,0),21)='Auto Responses'!$A$73,'Auto Responses'!$A$74,VLOOKUP($A124,Organization!$A$13:$E$67,4,0))&amp;""</f>
        <v>We have one privileged account, managed directly by the system owner. No other internal staff have access. Hosting provider Liquid Web LLC manages server-level privileged accounts under SOC-audited access review procedure</v>
      </c>
      <c r="E124" s="350" t="str">
        <f>VLOOKUP($A124,Organization!$A$13:$E$67,5,0)&amp;""</f>
        <v>Provide a brief summary and the implement review interval.</v>
      </c>
      <c r="F124" s="202"/>
      <c r="G124" s="37" t="str">
        <f>VLOOKUP($A124,Questions!$A$2:$X$333,21,0)&amp;""</f>
        <v>Yes</v>
      </c>
      <c r="H124" s="192"/>
      <c r="I124" s="52" t="str">
        <f>VLOOKUP($A124,Questions!$A$2:$X$333,23,0)&amp;""</f>
        <v>Minor Importance</v>
      </c>
      <c r="J124" s="192"/>
      <c r="K124" s="55" t="b">
        <v>0</v>
      </c>
      <c r="L124" s="1"/>
    </row>
    <row r="125" spans="1:12" s="36" customFormat="1" ht="170">
      <c r="A125" s="25" t="str">
        <f>Organization!$A$66</f>
        <v>PPPR-14</v>
      </c>
      <c r="B125" s="26" t="str">
        <f>VLOOKUP($A125,Organization!$A$13:$E$67,2,0)&amp;""</f>
        <v>Do you have documented, and currently implemented, internal audit processes and procedures?</v>
      </c>
      <c r="C125" s="52" t="str">
        <f>VLOOKUP($A125,Organization!$A$13:$E$67,3,0)&amp;""</f>
        <v>yes</v>
      </c>
      <c r="D125" s="41" t="str">
        <f>IF(LEFT(VLOOKUP($A125,Organization!$A$13:$E$67,5,0),21)='Auto Responses'!$A$73,'Auto Responses'!$A$74,VLOOKUP($A125,Organization!$A$13:$E$67,4,0))&amp;""</f>
        <v>America’s Software Corporation conducts periodic self-audits of access control, data retention, and backup practices. Infrastructure and hosting controls are independently audited through Liquid Web LLC’s SOC 2 report.</v>
      </c>
      <c r="E125" s="350" t="str">
        <f>VLOOKUP($A125,Organization!$A$13:$E$67,5,0)&amp;""</f>
        <v>Summarize your internal audit processes and procedures.</v>
      </c>
      <c r="F125" s="202"/>
      <c r="G125" s="37" t="str">
        <f>VLOOKUP($A125,Questions!$A$2:$X$333,21,0)&amp;""</f>
        <v>Yes</v>
      </c>
      <c r="H125" s="192"/>
      <c r="I125" s="52" t="str">
        <f>VLOOKUP($A125,Questions!$A$2:$X$333,23,0)&amp;""</f>
        <v>Minor Importance</v>
      </c>
      <c r="J125" s="192"/>
      <c r="K125" s="55" t="b">
        <v>0</v>
      </c>
      <c r="L125" s="1"/>
    </row>
    <row r="126" spans="1:12" s="36" customFormat="1" ht="120" thickBot="1">
      <c r="A126" s="25" t="str">
        <f>Organization!$A$67</f>
        <v>PPPR-15</v>
      </c>
      <c r="B126" s="26" t="str">
        <f>VLOOKUP($A126,Organization!$A$13:$E$67,2,0)&amp;""</f>
        <v>Does your organization have physical security controls and policies in place?</v>
      </c>
      <c r="C126" s="52" t="str">
        <f>VLOOKUP($A126,Organization!$A$13:$E$67,3,0)&amp;""</f>
        <v>yes</v>
      </c>
      <c r="D126" s="41" t="str">
        <f>IF(LEFT(VLOOKUP($A126,Organization!$A$13:$E$67,5,0),21)='Auto Responses'!$A$73,'Auto Responses'!$A$74,VLOOKUP($A126,Organization!$A$13:$E$67,4,0))&amp;""</f>
        <v>Liquid Web LLC provides physical safety for their datacenter including employee badges and video cameras. See website terms/conditions</v>
      </c>
      <c r="E126" s="350" t="str">
        <f>VLOOKUP($A126,Organization!$A$13:$E$67,5,0)&amp;""</f>
        <v>Provide a copy of your physical security controls and policies along with this document (link or attached).</v>
      </c>
      <c r="F126" s="202"/>
      <c r="G126" s="37" t="str">
        <f>VLOOKUP($A126,Questions!$A$2:$X$333,21,0)&amp;""</f>
        <v>Yes</v>
      </c>
      <c r="H126" s="192"/>
      <c r="I126" s="52" t="str">
        <f>VLOOKUP($A126,Questions!$A$2:$X$333,23,0)&amp;""</f>
        <v>Minor Importance</v>
      </c>
      <c r="J126" s="192"/>
      <c r="K126" s="56" t="b">
        <v>0</v>
      </c>
      <c r="L126" s="1"/>
    </row>
    <row r="127" spans="1:12" s="1" customFormat="1" ht="18">
      <c r="A127" s="70" t="str">
        <f>VLOOKUP(LEFT($A128,4),'Auto Responses'!$N$4:$O$38,2,0)&amp;""</f>
        <v xml:space="preserve"> Authentication, Authorization, and Account Management</v>
      </c>
      <c r="B127" s="29"/>
      <c r="C127" s="38"/>
      <c r="D127" s="38"/>
      <c r="E127" s="351"/>
      <c r="F127" s="139" t="s">
        <v>1089</v>
      </c>
      <c r="G127" s="358" t="s">
        <v>925</v>
      </c>
      <c r="H127" s="358" t="s">
        <v>927</v>
      </c>
      <c r="I127" s="358" t="s">
        <v>19</v>
      </c>
      <c r="J127" s="358" t="s">
        <v>912</v>
      </c>
      <c r="K127" s="38"/>
    </row>
    <row r="128" spans="1:12" s="36" customFormat="1" ht="272">
      <c r="A128" s="25" t="str">
        <f>Product!$A$20</f>
        <v>AAAI-01</v>
      </c>
      <c r="B128" s="26" t="str">
        <f>VLOOKUP($A128,Product!$A$13:$E$61,2,0)&amp;""</f>
        <v>Does your solution support single sign-on (SSO) protocols for user and administrator authentication?*</v>
      </c>
      <c r="C128" s="52" t="str">
        <f>VLOOKUP($A128,Product!$A$13:$E$61,3,0)&amp;""</f>
        <v>no</v>
      </c>
      <c r="D128" s="41" t="str">
        <f>IF(LEFT(VLOOKUP($A128,Product!$A$13:$E$61,5,0),21)='Auto Responses'!$A$73,'Auto Responses'!$A$74,VLOOKUP($A128,Product!$A$13:$E$61,4,0))&amp;""</f>
        <v>TalEval and Discovery Pro do not currently support institution-wide SSO. These applications are typically deployed within individual academic departments with relatively small user populations. Strong local authentication controls are provided, including unique user accounts, configurable password policies, automatic session timeouts, and account lockout after repeated failed login attempts. Optional MFA is also available</v>
      </c>
      <c r="E128" s="350" t="str">
        <f>VLOOKUP($A128,Product!$A$13:$E$61,5,0)&amp;""</f>
        <v>Describe plans to support strong authentication practices.</v>
      </c>
      <c r="F128" s="202"/>
      <c r="G128" s="37" t="str">
        <f>VLOOKUP($A128,Questions!$A$2:$X$333,21,0)&amp;""</f>
        <v>Yes</v>
      </c>
      <c r="H128" s="192"/>
      <c r="I128" s="52" t="str">
        <f>VLOOKUP($A128,Questions!$A$2:$X$333,23,0)&amp;""</f>
        <v>Critical Importance</v>
      </c>
      <c r="J128" s="192"/>
      <c r="K128" s="55" t="b">
        <v>0</v>
      </c>
      <c r="L128" s="1"/>
    </row>
    <row r="129" spans="1:12" s="36" customFormat="1" ht="289">
      <c r="A129" s="25" t="str">
        <f>Product!$A$21</f>
        <v>AAAI-02</v>
      </c>
      <c r="B129" s="26" t="str">
        <f>VLOOKUP($A129,Product!$A$13:$E$61,2,0)&amp;""</f>
        <v>For customers not using SSO, does your solution support local authentication protocols for user and administrator authentication?*</v>
      </c>
      <c r="C129" s="52" t="str">
        <f>VLOOKUP($A129,Product!$A$13:$E$61,3,0)&amp;""</f>
        <v>yes</v>
      </c>
      <c r="D129" s="41" t="str">
        <f>IF(LEFT(VLOOKUP($A129,Product!$A$13:$E$61,5,0),21)='Auto Responses'!$A$73,'Auto Responses'!$A$74,VLOOKUP($A129,Product!$A$13:$E$61,4,0))&amp;""</f>
        <v>Each account is assigned a unique username and password. Administrators may configure password policies, and optional multi-factor authentication (MFA) is available.</v>
      </c>
      <c r="E129" s="350" t="str">
        <f>VLOOKUP($A129,Product!$A$13:$E$61,5,0)&amp;""</f>
        <v>Provide a detailed description of your local authentication mode practices.</v>
      </c>
      <c r="F129" s="202"/>
      <c r="G129" s="37" t="str">
        <f>VLOOKUP($A129,Questions!$A$2:$X$333,21,0)&amp;""</f>
        <v>Yes</v>
      </c>
      <c r="H129" s="192"/>
      <c r="I129" s="52" t="str">
        <f>VLOOKUP($A129,Questions!$A$2:$X$333,23,0)&amp;""</f>
        <v>Critical Importance</v>
      </c>
      <c r="J129" s="192"/>
      <c r="K129" s="55" t="b">
        <v>0</v>
      </c>
      <c r="L129" s="1"/>
    </row>
    <row r="130" spans="1:12" s="36" customFormat="1" ht="272">
      <c r="A130" s="25" t="str">
        <f>Product!$A$22</f>
        <v>AAAI-03</v>
      </c>
      <c r="B130" s="26" t="str">
        <f>VLOOKUP($A130,Product!$A$13:$E$61,2,0)&amp;""</f>
        <v>For customers not using SSO, can you enforce password/passphrase complexity requirements (provided by the institution)?*</v>
      </c>
      <c r="C130" s="52" t="str">
        <f>VLOOKUP($A130,Product!$A$13:$E$61,3,0)&amp;""</f>
        <v>yes</v>
      </c>
      <c r="D130" s="41" t="str">
        <f>IF(LEFT(VLOOKUP($A130,Product!$A$13:$E$61,5,0),21)='Auto Responses'!$A$73,'Auto Responses'!$A$74,VLOOKUP($A130,Product!$A$13:$E$61,4,0))&amp;""</f>
        <v>ASC applications require passwords to be alphanumeric with a minimum character length. Institutions may also configure stricter complexity rules (e.g., requiring symbols or longer passphrases) through the administrator settings if their policies demand it. This allows local enforcement of institution-specific password requirements</v>
      </c>
      <c r="E130" s="350" t="str">
        <f>VLOOKUP($A130,Product!$A$13:$E$61,5,0)&amp;""</f>
        <v>Describe how password/passphrase complexity requirements are implemented in the product.</v>
      </c>
      <c r="F130" s="202"/>
      <c r="G130" s="37" t="str">
        <f>VLOOKUP($A130,Questions!$A$2:$X$333,21,0)&amp;""</f>
        <v>Yes</v>
      </c>
      <c r="H130" s="192"/>
      <c r="I130" s="52" t="str">
        <f>VLOOKUP($A130,Questions!$A$2:$X$333,23,0)&amp;""</f>
        <v>Critical Importance</v>
      </c>
      <c r="J130" s="192"/>
      <c r="K130" s="55" t="b">
        <v>0</v>
      </c>
      <c r="L130" s="1"/>
    </row>
    <row r="131" spans="1:12" s="36" customFormat="1" ht="102">
      <c r="A131" s="25" t="str">
        <f>Product!$A$23</f>
        <v>AAAI-04</v>
      </c>
      <c r="B131" s="26" t="str">
        <f>VLOOKUP($A131,Product!$A$13:$E$61,2,0)&amp;""</f>
        <v>For customers not using SSO, does the system have password complexity or length limitations and/or restrictions?*</v>
      </c>
      <c r="C131" s="52" t="str">
        <f>VLOOKUP($A131,Product!$A$13:$E$61,3,0)&amp;""</f>
        <v>yes</v>
      </c>
      <c r="D131" s="41" t="str">
        <f>IF(LEFT(VLOOKUP($A131,Product!$A$13:$E$61,5,0),21)='Auto Responses'!$A$73,'Auto Responses'!$A$74,VLOOKUP($A131,Product!$A$13:$E$61,4,0))&amp;""</f>
        <v>Passwords must meet the institution's configured minimum length requirements and include both alphabetic and numeric characters. Additional password restrictions may be configured by administrators</v>
      </c>
      <c r="E131" s="350" t="str">
        <f>VLOOKUP($A131,Product!$A$13:$E$61,5,0)&amp;""</f>
        <v>Describe these limitations and/or restrictions and state what lengths and complexities are supported.</v>
      </c>
      <c r="F131" s="202"/>
      <c r="G131" s="37" t="str">
        <f>VLOOKUP($A131,Questions!$A$2:$X$333,21,0)&amp;""</f>
        <v>No</v>
      </c>
      <c r="H131" s="192"/>
      <c r="I131" s="52" t="str">
        <f>VLOOKUP($A131,Questions!$A$2:$X$333,23,0)&amp;""</f>
        <v>Critical Importance</v>
      </c>
      <c r="J131" s="192"/>
      <c r="K131" s="55" t="b">
        <v>0</v>
      </c>
      <c r="L131" s="1"/>
    </row>
    <row r="132" spans="1:12" s="36" customFormat="1" ht="221">
      <c r="A132" s="25" t="str">
        <f>Product!$A$24</f>
        <v>AAAI-05</v>
      </c>
      <c r="B132" s="26" t="str">
        <f>VLOOKUP($A132,Product!$A$13:$E$61,2,0)&amp;""</f>
        <v>For customers not using SSO, do you have documented password/passphrase reset procedures that are currently implemented in the system and/or customer support?*</v>
      </c>
      <c r="C132" s="52" t="str">
        <f>VLOOKUP($A132,Product!$A$13:$E$61,3,0)&amp;""</f>
        <v>yes</v>
      </c>
      <c r="D132" s="41" t="str">
        <f>IF(LEFT(VLOOKUP($A132,Product!$A$13:$E$61,5,0),21)='Auto Responses'!$A$73,'Auto Responses'!$A$74,VLOOKUP($A132,Product!$A$13:$E$61,4,0))&amp;""</f>
        <v>Password reset requests are supported through customer support and, where available, through built-in system reset functionality. America’s Software Corporation follows documented procedures to verify account ownership before issuing a reset, ensuring account security.</v>
      </c>
      <c r="E132" s="350" t="str">
        <f>VLOOKUP($A132,Product!$A$13:$E$61,5,0)&amp;""</f>
        <v>Describe your documented password/passphrase reset procedures that are currently implemented in the system and/or customer support.</v>
      </c>
      <c r="F132" s="202"/>
      <c r="G132" s="37" t="str">
        <f>VLOOKUP($A132,Questions!$A$2:$X$333,21,0)&amp;""</f>
        <v>Yes</v>
      </c>
      <c r="H132" s="192"/>
      <c r="I132" s="52" t="str">
        <f>VLOOKUP($A132,Questions!$A$2:$X$333,23,0)&amp;""</f>
        <v>Critical Importance</v>
      </c>
      <c r="J132" s="192"/>
      <c r="K132" s="55" t="b">
        <v>0</v>
      </c>
      <c r="L132" s="1"/>
    </row>
    <row r="133" spans="1:12" s="36" customFormat="1" ht="238">
      <c r="A133" s="25" t="str">
        <f>Product!$A$25</f>
        <v>AAAI-06</v>
      </c>
      <c r="B133" s="26" t="str">
        <f>VLOOKUP($A133,Product!$A$13:$E$61,2,0)&amp;""</f>
        <v>Does your organization participate in InCommon or another eduGAIN-affiliated trust federation?*</v>
      </c>
      <c r="C133" s="52" t="str">
        <f>VLOOKUP($A133,Product!$A$13:$E$61,3,0)&amp;""</f>
        <v>no</v>
      </c>
      <c r="D133" s="41" t="str">
        <f>IF(LEFT(VLOOKUP($A133,Product!$A$13:$E$61,5,0),21)='Auto Responses'!$A$73,'Auto Responses'!$A$74,VLOOKUP($A133,Product!$A$13:$E$61,4,0))&amp;""</f>
        <v>America's Software Corporation does not currently participate in InCommon or another eduGAIN-affiliated trust federation. TalEval and Discovery Pro use local authentication and do not currently support federation through InCommon or eduGAIN.</v>
      </c>
      <c r="E133" s="350" t="str">
        <f>VLOOKUP($A133,Product!$A$13:$E$61,5,0)&amp;""</f>
        <v>Describe plans to participate in InCommon or another eduGAIN-affiliated trust federation.</v>
      </c>
      <c r="F133" s="202"/>
      <c r="G133" s="37" t="str">
        <f>VLOOKUP($A133,Questions!$A$2:$X$333,21,0)&amp;""</f>
        <v>Yes</v>
      </c>
      <c r="H133" s="192"/>
      <c r="I133" s="52" t="str">
        <f>VLOOKUP($A133,Questions!$A$2:$X$333,23,0)&amp;""</f>
        <v>Critical Importance</v>
      </c>
      <c r="J133" s="192"/>
      <c r="K133" s="55" t="b">
        <v>0</v>
      </c>
      <c r="L133" s="1"/>
    </row>
    <row r="134" spans="1:12" s="36" customFormat="1" ht="30">
      <c r="A134" s="25" t="str">
        <f>Product!$A$26</f>
        <v>AAAI-07</v>
      </c>
      <c r="B134" s="26" t="str">
        <f>VLOOKUP($A134,Product!$A$13:$E$61,2,0)&amp;""</f>
        <v>Are there any passwords/passphrases hard-coded into your systems or solutions?*</v>
      </c>
      <c r="C134" s="52" t="str">
        <f>VLOOKUP($A134,Product!$A$13:$E$61,3,0)&amp;""</f>
        <v>no</v>
      </c>
      <c r="D134" s="41" t="str">
        <f>IF(LEFT(VLOOKUP($A134,Product!$A$13:$E$61,5,0),21)='Auto Responses'!$A$73,'Auto Responses'!$A$74,VLOOKUP($A134,Product!$A$13:$E$61,4,0))&amp;""</f>
        <v/>
      </c>
      <c r="E134" s="350" t="str">
        <f>VLOOKUP($A134,Product!$A$13:$E$61,5,0)&amp;""</f>
        <v/>
      </c>
      <c r="F134" s="202"/>
      <c r="G134" s="37" t="str">
        <f>VLOOKUP($A134,Questions!$A$2:$X$333,21,0)&amp;""</f>
        <v>No</v>
      </c>
      <c r="H134" s="192"/>
      <c r="I134" s="52" t="str">
        <f>VLOOKUP($A134,Questions!$A$2:$X$333,23,0)&amp;""</f>
        <v>Critical Importance</v>
      </c>
      <c r="J134" s="192"/>
      <c r="K134" s="55" t="b">
        <v>0</v>
      </c>
      <c r="L134" s="1"/>
    </row>
    <row r="135" spans="1:12" s="36" customFormat="1" ht="17">
      <c r="A135" s="25" t="str">
        <f>Product!$A$27</f>
        <v>AAAI-08</v>
      </c>
      <c r="B135" s="26" t="str">
        <f>VLOOKUP($A135,Product!$A$13:$E$61,2,0)&amp;""</f>
        <v>Are you storing any passwords in plaintext?*</v>
      </c>
      <c r="C135" s="52" t="str">
        <f>VLOOKUP($A135,Product!$A$13:$E$61,3,0)&amp;""</f>
        <v>no</v>
      </c>
      <c r="D135" s="41" t="str">
        <f>IF(LEFT(VLOOKUP($A135,Product!$A$13:$E$61,5,0),21)='Auto Responses'!$A$73,'Auto Responses'!$A$74,VLOOKUP($A135,Product!$A$13:$E$61,4,0))&amp;""</f>
        <v/>
      </c>
      <c r="E135" s="350" t="str">
        <f>VLOOKUP($A135,Product!$A$13:$E$61,5,0)&amp;""</f>
        <v/>
      </c>
      <c r="F135" s="202"/>
      <c r="G135" s="37" t="str">
        <f>VLOOKUP($A135,Questions!$A$2:$X$333,21,0)&amp;""</f>
        <v>No</v>
      </c>
      <c r="H135" s="192"/>
      <c r="I135" s="52" t="str">
        <f>VLOOKUP($A135,Questions!$A$2:$X$333,23,0)&amp;""</f>
        <v>Critical Importance</v>
      </c>
      <c r="J135" s="192"/>
      <c r="K135" s="55" t="b">
        <v>0</v>
      </c>
      <c r="L135" s="1"/>
    </row>
    <row r="136" spans="1:12" s="36" customFormat="1" ht="30">
      <c r="A136" s="25" t="str">
        <f>Product!$A$28</f>
        <v>AAAI-09</v>
      </c>
      <c r="B136" s="26" t="str">
        <f>VLOOKUP($A136,Product!$A$13:$E$61,2,0)&amp;""</f>
        <v>Are audit logs available that include AT LEAST all of the following: login, logout, actions performed, and source IP address?*</v>
      </c>
      <c r="C136" s="52" t="str">
        <f>VLOOKUP($A136,Product!$A$13:$E$61,3,0)&amp;""</f>
        <v>yes</v>
      </c>
      <c r="D136" s="41" t="str">
        <f>IF(LEFT(VLOOKUP($A136,Product!$A$13:$E$61,5,0),21)='Auto Responses'!$A$73,'Auto Responses'!$A$74,VLOOKUP($A136,Product!$A$13:$E$61,4,0))&amp;""</f>
        <v/>
      </c>
      <c r="E136" s="350" t="str">
        <f>VLOOKUP($A136,Product!$A$13:$E$61,5,0)&amp;""</f>
        <v/>
      </c>
      <c r="F136" s="202"/>
      <c r="G136" s="37" t="str">
        <f>VLOOKUP($A136,Questions!$A$2:$X$333,21,0)&amp;""</f>
        <v>Yes</v>
      </c>
      <c r="H136" s="192"/>
      <c r="I136" s="52" t="str">
        <f>VLOOKUP($A136,Questions!$A$2:$X$333,23,0)&amp;""</f>
        <v>Critical Importance</v>
      </c>
      <c r="J136" s="192"/>
      <c r="K136" s="55" t="b">
        <v>0</v>
      </c>
      <c r="L136" s="1"/>
    </row>
    <row r="137" spans="1:12" s="36" customFormat="1" ht="323">
      <c r="A137" s="25" t="str">
        <f>Product!$A$29</f>
        <v>AAAI-10</v>
      </c>
      <c r="B137" s="26"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24" t="str">
        <f>VLOOKUP($A137,Product!$A$13:$E$61,3,0)&amp;""</f>
        <v/>
      </c>
      <c r="D137" s="323" t="str">
        <f>IF(LEFT(VLOOKUP($A137,Product!$A$13:$E$61,5,0),21)='Auto Responses'!$A$73,'Auto Responses'!$A$74,VLOOKUP($A137,Product!$A$13:$E$61,4,0))&amp;""</f>
        <v>We log user authentication attempts, failed logins, and account/session events. Hosting provider Liquid Web LLC (SOC 2 certified) maintains infrastructure-level logging of administrative access, firewall events, and intrusion detection. America’s Software Corporation does not operate a separate SIEM but centralized log monitoring is performed by the hosting provider as part of its SOC-audited controls.</v>
      </c>
      <c r="E137" s="350" t="str">
        <f>VLOOKUP($A137,Product!$A$13:$E$61,5,0)&amp;""</f>
        <v>Ensure that all elements of AAAI-10 are clearly stated in your response.</v>
      </c>
      <c r="F137" s="202"/>
      <c r="G137" s="37" t="str">
        <f>VLOOKUP($A137,Questions!$A$2:$X$333,21,0)&amp;""</f>
        <v>Not scored</v>
      </c>
      <c r="H137" s="192"/>
      <c r="I137" s="52" t="str">
        <f>VLOOKUP($A137,Questions!$A$2:$X$333,23,0)&amp;""</f>
        <v>Critical Importance</v>
      </c>
      <c r="J137" s="192"/>
      <c r="K137" s="55" t="b">
        <v>0</v>
      </c>
      <c r="L137" s="1"/>
    </row>
    <row r="138" spans="1:12" s="36" customFormat="1" ht="45">
      <c r="A138" s="25" t="str">
        <f>Product!$A$30</f>
        <v>AAAI-11</v>
      </c>
      <c r="B138" s="26" t="str">
        <f>VLOOKUP($A138,Product!$A$13:$E$61,2,0)&amp;""</f>
        <v>Can you provide the institution documentation regarding the retention period for those logs, how logs are protected, and whether they are accessible to the customer (and if so, how)?*</v>
      </c>
      <c r="C138" s="52" t="str">
        <f>VLOOKUP($A138,Product!$A$13:$E$61,3,0)&amp;""</f>
        <v>yes</v>
      </c>
      <c r="D138" s="41" t="str">
        <f>IF(LEFT(VLOOKUP($A138,Product!$A$13:$E$61,5,0),21)='Auto Responses'!$A$73,'Auto Responses'!$A$74,VLOOKUP($A138,Product!$A$13:$E$61,4,0))&amp;""</f>
        <v/>
      </c>
      <c r="E138" s="350" t="str">
        <f>VLOOKUP($A138,Product!$A$13:$E$61,5,0)&amp;""</f>
        <v/>
      </c>
      <c r="F138" s="202"/>
      <c r="G138" s="37" t="str">
        <f>VLOOKUP($A138,Questions!$A$2:$X$333,21,0)&amp;""</f>
        <v>Yes</v>
      </c>
      <c r="H138" s="192"/>
      <c r="I138" s="52" t="str">
        <f>VLOOKUP($A138,Questions!$A$2:$X$333,23,0)&amp;""</f>
        <v>Critical Importance</v>
      </c>
      <c r="J138" s="192"/>
      <c r="K138" s="55" t="b">
        <v>0</v>
      </c>
      <c r="L138" s="1"/>
    </row>
    <row r="139" spans="1:12" s="36" customFormat="1" ht="119">
      <c r="A139" s="25" t="str">
        <f>Product!$A$31</f>
        <v>AAAI-12</v>
      </c>
      <c r="B139" s="26" t="str">
        <f>VLOOKUP($A139,Product!$A$13:$E$61,2,0)&amp;""</f>
        <v>For customers not using SSO, does your application support integration with other authentication and authorization systems?</v>
      </c>
      <c r="C139" s="52" t="str">
        <f>VLOOKUP($A139,Product!$A$13:$E$61,3,0)&amp;""</f>
        <v>no</v>
      </c>
      <c r="D139" s="41" t="str">
        <f>IF(LEFT(VLOOKUP($A139,Product!$A$13:$E$61,5,0),21)='Auto Responses'!$A$73,'Auto Responses'!$A$74,VLOOKUP($A139,Product!$A$13:$E$61,4,0))&amp;""</f>
        <v>No. TalEval and Discovery Pro use built-in local authentication and do not currently integrate with external authentication or authorization systems.</v>
      </c>
      <c r="E139" s="350" t="str">
        <f>VLOOKUP($A139,Product!$A$13:$E$61,5,0)&amp;""</f>
        <v>Describe any plans to support integration with other authentication and authorization systems.</v>
      </c>
      <c r="F139" s="202"/>
      <c r="G139" s="37" t="str">
        <f>VLOOKUP($A139,Questions!$A$2:$X$333,21,0)&amp;""</f>
        <v>Yes</v>
      </c>
      <c r="H139" s="192"/>
      <c r="I139" s="52" t="str">
        <f>VLOOKUP($A139,Questions!$A$2:$X$333,23,0)&amp;""</f>
        <v>Standard Importance</v>
      </c>
      <c r="J139" s="192"/>
      <c r="K139" s="55" t="b">
        <v>0</v>
      </c>
      <c r="L139" s="1"/>
    </row>
    <row r="140" spans="1:12" s="36" customFormat="1" ht="45">
      <c r="A140" s="25" t="str">
        <f>Product!$A$32</f>
        <v>AAAI-13</v>
      </c>
      <c r="B140" s="26" t="str">
        <f>VLOOKUP($A140,Product!$A$13:$E$61,2,0)&amp;""</f>
        <v>Do you allow the customer to specify attribute mappings for any needed information beyond a user identifier? (e.g., Reference eduPerson, ePPA/ePPN/ePE)</v>
      </c>
      <c r="C140" s="52" t="str">
        <f>VLOOKUP($A140,Product!$A$13:$E$61,3,0)&amp;""</f>
        <v>no</v>
      </c>
      <c r="D140" s="41" t="str">
        <f>IF(LEFT(VLOOKUP($A140,Product!$A$13:$E$61,5,0),21)='Auto Responses'!$A$73,'Auto Responses'!$A$74,VLOOKUP($A140,Product!$A$13:$E$61,4,0))&amp;""</f>
        <v>Those attribute mappings are typically used with identity federation systems, which ASC doesn't currently support</v>
      </c>
      <c r="E140" s="350" t="str">
        <f>VLOOKUP($A140,Product!$A$13:$E$61,5,0)&amp;""</f>
        <v>Describe plans to allow customers to specify attribute mappings.</v>
      </c>
      <c r="F140" s="202"/>
      <c r="G140" s="37" t="str">
        <f>VLOOKUP($A140,Questions!$A$2:$X$333,21,0)&amp;""</f>
        <v>Yes</v>
      </c>
      <c r="H140" s="192"/>
      <c r="I140" s="52" t="str">
        <f>VLOOKUP($A140,Questions!$A$2:$X$333,23,0)&amp;""</f>
        <v>Standard Importance</v>
      </c>
      <c r="J140" s="192"/>
      <c r="K140" s="55" t="b">
        <v>0</v>
      </c>
      <c r="L140" s="1"/>
    </row>
    <row r="141" spans="1:12" s="36" customFormat="1" ht="68">
      <c r="A141" s="25" t="str">
        <f>Product!$A$33</f>
        <v>AAAI-14</v>
      </c>
      <c r="B141" s="26" t="str">
        <f>VLOOKUP($A141,Product!$A$13:$E$61,2,0)&amp;""</f>
        <v>For customers not using SSO, does your application support directory integration for user accounts?</v>
      </c>
      <c r="C141" s="52" t="str">
        <f>VLOOKUP($A141,Product!$A$13:$E$61,3,0)&amp;""</f>
        <v>no</v>
      </c>
      <c r="D141" s="41" t="str">
        <f>IF(LEFT(VLOOKUP($A141,Product!$A$13:$E$61,5,0),21)='Auto Responses'!$A$73,'Auto Responses'!$A$74,VLOOKUP($A141,Product!$A$13:$E$61,4,0))&amp;""</f>
        <v>No. User accounts are managed locally within the application and are not synchronized with external directory services.</v>
      </c>
      <c r="E141" s="350" t="str">
        <f>VLOOKUP($A141,Product!$A$13:$E$61,5,0)&amp;""</f>
        <v>Describe any plans to support external authentication services in place of local authentication.</v>
      </c>
      <c r="F141" s="202"/>
      <c r="G141" s="37" t="str">
        <f>VLOOKUP($A141,Questions!$A$2:$X$333,21,0)&amp;""</f>
        <v>Yes</v>
      </c>
      <c r="H141" s="192"/>
      <c r="I141" s="52" t="str">
        <f>VLOOKUP($A141,Questions!$A$2:$X$333,23,0)&amp;""</f>
        <v>Standard Importance</v>
      </c>
      <c r="J141" s="192"/>
      <c r="K141" s="55" t="b">
        <v>0</v>
      </c>
      <c r="L141" s="1"/>
    </row>
    <row r="142" spans="1:12" s="36" customFormat="1" ht="221">
      <c r="A142" s="25" t="str">
        <f>Product!$A$34</f>
        <v>AAAI-15</v>
      </c>
      <c r="B142" s="26" t="str">
        <f>VLOOKUP($A142,Product!$A$13:$E$61,2,0)&amp;""</f>
        <v>Does your solution support any of the following web SSO standards: SAML2 (with redirect flow), OIDC, CAS, or other?</v>
      </c>
      <c r="C142" s="52" t="str">
        <f>VLOOKUP($A142,Product!$A$13:$E$61,3,0)&amp;""</f>
        <v>no</v>
      </c>
      <c r="D142" s="41" t="str">
        <f>IF(LEFT(VLOOKUP($A142,Product!$A$13:$E$61,5,0),21)='Auto Responses'!$A$73,'Auto Responses'!$A$74,VLOOKUP($A142,Product!$A$13:$E$61,4,0))&amp;""</f>
        <v>Do not currently support SAML2, OIDC, or CAS SSO standards Less than 50 users per school.  Authentication is managed through unique username/password logins with strong password enforcement, auto-logoff after inactivity, and account lockouts for repeated failed attempts</v>
      </c>
      <c r="E142" s="350" t="str">
        <f>VLOOKUP($A142,Product!$A$13:$E$61,5,0)&amp;""</f>
        <v>Describe plans to support web SSO in your solution.</v>
      </c>
      <c r="F142" s="202"/>
      <c r="G142" s="37" t="str">
        <f>VLOOKUP($A142,Questions!$A$2:$X$333,21,0)&amp;""</f>
        <v>Yes</v>
      </c>
      <c r="H142" s="192"/>
      <c r="I142" s="52" t="str">
        <f>VLOOKUP($A142,Questions!$A$2:$X$333,23,0)&amp;""</f>
        <v>Minor Importance</v>
      </c>
      <c r="J142" s="192"/>
      <c r="K142" s="55" t="b">
        <v>0</v>
      </c>
      <c r="L142" s="1"/>
    </row>
    <row r="143" spans="1:12" s="36" customFormat="1" ht="17">
      <c r="A143" s="25" t="str">
        <f>Product!$A$35</f>
        <v>AAAI-16</v>
      </c>
      <c r="B143" s="26" t="str">
        <f>VLOOKUP($A143,Product!$A$13:$E$61,2,0)&amp;""</f>
        <v>Do you support differentiation between email address and user identifier?</v>
      </c>
      <c r="C143" s="52" t="str">
        <f>VLOOKUP($A143,Product!$A$13:$E$61,3,0)&amp;""</f>
        <v>yes</v>
      </c>
      <c r="D143" s="41" t="str">
        <f>IF(LEFT(VLOOKUP($A143,Product!$A$13:$E$61,5,0),21)='Auto Responses'!$A$73,'Auto Responses'!$A$74,VLOOKUP($A143,Product!$A$13:$E$61,4,0))&amp;""</f>
        <v/>
      </c>
      <c r="E143" s="350" t="str">
        <f>VLOOKUP($A143,Product!$A$13:$E$61,5,0)&amp;""</f>
        <v/>
      </c>
      <c r="F143" s="202"/>
      <c r="G143" s="37" t="str">
        <f>VLOOKUP($A143,Questions!$A$2:$X$333,21,0)&amp;""</f>
        <v>Yes</v>
      </c>
      <c r="H143" s="192"/>
      <c r="I143" s="52" t="str">
        <f>VLOOKUP($A143,Questions!$A$2:$X$333,23,0)&amp;""</f>
        <v>Minor Importance</v>
      </c>
      <c r="J143" s="192"/>
      <c r="K143" s="55" t="b">
        <v>0</v>
      </c>
      <c r="L143" s="1"/>
    </row>
    <row r="144" spans="1:12" s="36" customFormat="1" ht="323">
      <c r="A144" s="25" t="str">
        <f>Product!$A$36</f>
        <v>AAAI-17</v>
      </c>
      <c r="B144" s="26" t="str">
        <f>VLOOKUP($A144,Product!$A$13:$E$61,2,0)&amp;""</f>
        <v>For customers not using SSO, does your application and/or user frontend/portal support multifactor authentication (e.g., Duo, Google Authenticator, OTP, etc.)?</v>
      </c>
      <c r="C144" s="52" t="str">
        <f>VLOOKUP($A144,Product!$A$13:$E$61,3,0)&amp;""</f>
        <v>no</v>
      </c>
      <c r="D144" s="41" t="str">
        <f>IF(LEFT(VLOOKUP($A144,Product!$A$13:$E$61,5,0),21)='Auto Responses'!$A$73,'Auto Responses'!$A$74,VLOOKUP($A144,Product!$A$13:$E$61,4,0))&amp;""</f>
        <v/>
      </c>
      <c r="E144" s="350" t="str">
        <f>VLOOKUP($A144,Product!$A$13:$E$61,5,0)&amp;""</f>
        <v>Based on the response to AAAI-01, this question does not apply to this product or service.</v>
      </c>
      <c r="F144" s="202"/>
      <c r="G144" s="37" t="str">
        <f>VLOOKUP($A144,Questions!$A$2:$X$333,21,0)&amp;""</f>
        <v>Yes</v>
      </c>
      <c r="H144" s="192"/>
      <c r="I144" s="52" t="str">
        <f>VLOOKUP($A144,Questions!$A$2:$X$333,23,0)&amp;""</f>
        <v>Minor Importance</v>
      </c>
      <c r="J144" s="192"/>
      <c r="K144" s="55" t="b">
        <v>0</v>
      </c>
      <c r="L144" s="1"/>
    </row>
    <row r="145" spans="1:12" s="36" customFormat="1" ht="51">
      <c r="A145" s="25" t="str">
        <f>Product!$A$37</f>
        <v>AAAI-18</v>
      </c>
      <c r="B145" s="26" t="str">
        <f>VLOOKUP($A145,Product!$A$13:$E$61,2,0)&amp;""</f>
        <v>Does your application automatically lock the session or log out an account after a period of inactivity?</v>
      </c>
      <c r="C145" s="52" t="str">
        <f>VLOOKUP($A145,Product!$A$13:$E$61,3,0)&amp;""</f>
        <v>yes</v>
      </c>
      <c r="D145" s="41" t="str">
        <f>IF(LEFT(VLOOKUP($A145,Product!$A$13:$E$61,5,0),21)='Auto Responses'!$A$73,'Auto Responses'!$A$74,VLOOKUP($A145,Product!$A$13:$E$61,4,0))&amp;""</f>
        <v>after 5 attempts lock out for 24 hours</v>
      </c>
      <c r="E145" s="350" t="str">
        <f>VLOOKUP($A145,Product!$A$13:$E$61,5,0)&amp;""</f>
        <v>Describe the default behavior of this capability.</v>
      </c>
      <c r="F145" s="202"/>
      <c r="G145" s="37" t="str">
        <f>VLOOKUP($A145,Questions!$A$2:$X$333,21,0)&amp;""</f>
        <v>Yes</v>
      </c>
      <c r="H145" s="192"/>
      <c r="I145" s="52" t="str">
        <f>VLOOKUP($A145,Questions!$A$2:$X$333,23,0)&amp;""</f>
        <v>Minor Importance</v>
      </c>
      <c r="J145" s="192"/>
      <c r="K145" s="55" t="b">
        <v>0</v>
      </c>
      <c r="L145" s="1"/>
    </row>
    <row r="146" spans="1:12" s="1" customFormat="1" ht="18">
      <c r="A146" s="70" t="str">
        <f>VLOOKUP(LEFT($A147,4),'Auto Responses'!$N$4:$O$38,2,0)&amp;""</f>
        <v xml:space="preserve"> Data</v>
      </c>
      <c r="B146" s="29"/>
      <c r="C146" s="38"/>
      <c r="D146" s="38"/>
      <c r="E146" s="351"/>
      <c r="F146" s="139" t="s">
        <v>1089</v>
      </c>
      <c r="G146" s="358" t="s">
        <v>925</v>
      </c>
      <c r="H146" s="358" t="s">
        <v>927</v>
      </c>
      <c r="I146" s="358" t="s">
        <v>19</v>
      </c>
      <c r="J146" s="358" t="s">
        <v>912</v>
      </c>
      <c r="K146" s="38"/>
    </row>
    <row r="147" spans="1:12" s="36" customFormat="1" ht="45">
      <c r="A147" s="25" t="str">
        <f>Product!$A$39</f>
        <v>DATA-01</v>
      </c>
      <c r="B147" s="26" t="str">
        <f>VLOOKUP($A147,Product!$A$13:$E$61,2,0)&amp;""</f>
        <v>Will the institution's data be stored on any devices (database servers, file servers, SAN, NAS, etc.) configured with non-RFC 1918/4193 (i.e., publicly routable) IP addresses?*</v>
      </c>
      <c r="C147" s="52" t="str">
        <f>VLOOKUP($A147,Product!$A$13:$E$61,3,0)&amp;""</f>
        <v>no</v>
      </c>
      <c r="D147" s="41" t="str">
        <f>IF(LEFT(VLOOKUP($A147,Product!$A$13:$E$61,5,0),21)='Auto Responses'!$A$73,'Auto Responses'!$A$74,VLOOKUP($A147,Product!$A$13:$E$61,4,0))&amp;""</f>
        <v/>
      </c>
      <c r="E147" s="350" t="str">
        <f>VLOOKUP($A147,Product!$A$13:$E$61,5,0)&amp;""</f>
        <v/>
      </c>
      <c r="F147" s="202"/>
      <c r="G147" s="37" t="str">
        <f>VLOOKUP($A147,Questions!$A$2:$X$333,21,0)&amp;""</f>
        <v>No</v>
      </c>
      <c r="H147" s="192"/>
      <c r="I147" s="52" t="str">
        <f>VLOOKUP($A147,Questions!$A$2:$X$333,23,0)&amp;""</f>
        <v>Critical Importance</v>
      </c>
      <c r="J147" s="192"/>
      <c r="K147" s="55" t="b">
        <v>0</v>
      </c>
      <c r="L147" s="1"/>
    </row>
    <row r="148" spans="1:12" s="36" customFormat="1" ht="187">
      <c r="A148" s="25" t="str">
        <f>Product!$A$40</f>
        <v>DATA-02</v>
      </c>
      <c r="B148" s="26" t="str">
        <f>VLOOKUP($A148,Product!$A$13:$E$61,2,0)&amp;""</f>
        <v>Is the transport of sensitive data encrypted using security protocols/algorithms (e.g., system-to-client)?*</v>
      </c>
      <c r="C148" s="52" t="str">
        <f>VLOOKUP($A148,Product!$A$13:$E$61,3,0)&amp;""</f>
        <v>yes</v>
      </c>
      <c r="D148" s="41" t="str">
        <f>IF(LEFT(VLOOKUP($A148,Product!$A$13:$E$61,5,0),21)='Auto Responses'!$A$73,'Auto Responses'!$A$74,VLOOKUP($A148,Product!$A$13:$E$61,4,0))&amp;""</f>
        <v>All sensitive data in transit between client systems and application servers is encrypted using TLS/SSL (HTTPS). Hosting provider Liquid Web LLC enforces industry-standard security protocols for system-to-client communications.</v>
      </c>
      <c r="E148" s="350" t="str">
        <f>VLOOKUP($A148,Product!$A$13:$E$61,5,0)&amp;""</f>
        <v>Summarize your transport encryption strategy.</v>
      </c>
      <c r="F148" s="202"/>
      <c r="G148" s="37" t="str">
        <f>VLOOKUP($A148,Questions!$A$2:$X$333,21,0)&amp;""</f>
        <v>Yes</v>
      </c>
      <c r="H148" s="192"/>
      <c r="I148" s="52" t="str">
        <f>VLOOKUP($A148,Questions!$A$2:$X$333,23,0)&amp;""</f>
        <v>Critical Importance</v>
      </c>
      <c r="J148" s="192"/>
      <c r="K148" s="55" t="b">
        <v>0</v>
      </c>
      <c r="L148" s="1"/>
    </row>
    <row r="149" spans="1:12" s="36" customFormat="1" ht="221">
      <c r="A149" s="25" t="str">
        <f>Product!$A$41</f>
        <v>DATA-03</v>
      </c>
      <c r="B149" s="26" t="str">
        <f>VLOOKUP($A149,Product!$A$13:$E$61,2,0)&amp;""</f>
        <v>Is the storage of sensitive data encrypted using security protocols/algorithms (e.g., disk encryption, at-rest, files, and within a running database)?*</v>
      </c>
      <c r="C149" s="52" t="str">
        <f>VLOOKUP($A149,Product!$A$13:$E$61,3,0)&amp;""</f>
        <v>yes</v>
      </c>
      <c r="D149" s="41" t="str">
        <f>IF(LEFT(VLOOKUP($A149,Product!$A$13:$E$61,5,0),21)='Auto Responses'!$A$73,'Auto Responses'!$A$74,VLOOKUP($A149,Product!$A$13:$E$61,4,0))&amp;""</f>
        <v>Institutional data is encrypted at rest using industry-standard protocols. Hosting provider Liquid Web LLC (SOC 2 certified, HIPAA hosting features) implements disk and backup encryption to protect data at rest, in addition to encryption within databases as required</v>
      </c>
      <c r="E149" s="350" t="str">
        <f>VLOOKUP($A149,Product!$A$13:$E$61,5,0)&amp;""</f>
        <v>Summarize your data encryption strategy and state what encryption options are available.</v>
      </c>
      <c r="F149" s="202"/>
      <c r="G149" s="37" t="str">
        <f>VLOOKUP($A149,Questions!$A$2:$X$333,21,0)&amp;""</f>
        <v>Yes</v>
      </c>
      <c r="H149" s="192"/>
      <c r="I149" s="52" t="str">
        <f>VLOOKUP($A149,Questions!$A$2:$X$333,23,0)&amp;""</f>
        <v>Critical Importance</v>
      </c>
      <c r="J149" s="192"/>
      <c r="K149" s="55" t="b">
        <v>0</v>
      </c>
      <c r="L149" s="1"/>
    </row>
    <row r="150" spans="1:12" s="36" customFormat="1" ht="221">
      <c r="A150" s="25" t="str">
        <f>Product!$A$42</f>
        <v>DATA-04</v>
      </c>
      <c r="B150" s="26" t="str">
        <f>VLOOKUP($A150,Product!$A$13:$E$61,2,0)&amp;""</f>
        <v>Do all cryptographic modules in use in your solution conform to the Federal Information Processing Standards (FIPS PUB 140-2 or 140-3)?*</v>
      </c>
      <c r="C150" s="52" t="str">
        <f>VLOOKUP($A150,Product!$A$13:$E$61,3,0)&amp;""</f>
        <v>yes</v>
      </c>
      <c r="D150" s="41" t="str">
        <f>IF(LEFT(VLOOKUP($A150,Product!$A$13:$E$61,5,0),21)='Auto Responses'!$A$73,'Auto Responses'!$A$74,VLOOKUP($A150,Product!$A$13:$E$61,4,0))&amp;""</f>
        <v>America’s Software Corporation relies on hosting provider Liquid Web LLC (SOC 2 certified), which implements industry-standard cryptographic modules that conform to FIPS 140-2/140-3 requirements. Data in transit uses TLS/SSL, and data at rest uses AES-based encryption</v>
      </c>
      <c r="E150" s="350" t="str">
        <f>VLOOKUP($A150,Product!$A$13:$E$61,5,0)&amp;""</f>
        <v>Provide reference to FIPS 140-3 validation certificates.</v>
      </c>
      <c r="F150" s="202"/>
      <c r="G150" s="37" t="str">
        <f>VLOOKUP($A150,Questions!$A$2:$X$333,21,0)&amp;""</f>
        <v>Yes</v>
      </c>
      <c r="H150" s="192"/>
      <c r="I150" s="52" t="str">
        <f>VLOOKUP($A150,Questions!$A$2:$X$333,23,0)&amp;""</f>
        <v>Critical Importance</v>
      </c>
      <c r="J150" s="192"/>
      <c r="K150" s="55" t="b">
        <v>0</v>
      </c>
      <c r="L150" s="1"/>
    </row>
    <row r="151" spans="1:12" s="36" customFormat="1" ht="102">
      <c r="A151" s="25" t="str">
        <f>Product!$A$43</f>
        <v>DATA-05</v>
      </c>
      <c r="B151" s="26" t="str">
        <f>VLOOKUP($A151,Product!$A$13:$E$61,2,0)&amp;""</f>
        <v>Will the institution's data be available within the system for a period of time at the completion of this contract?*</v>
      </c>
      <c r="C151" s="52" t="str">
        <f>VLOOKUP($A151,Product!$A$13:$E$61,3,0)&amp;""</f>
        <v>yes</v>
      </c>
      <c r="D151" s="41" t="str">
        <f>IF(LEFT(VLOOKUP($A151,Product!$A$13:$E$61,5,0),21)='Auto Responses'!$A$73,'Auto Responses'!$A$74,VLOOKUP($A151,Product!$A$13:$E$61,4,0))&amp;""</f>
        <v>90 days</v>
      </c>
      <c r="E151" s="350" t="str">
        <f>VLOOKUP($A151,Product!$A$13:$E$61,5,0)&amp;""</f>
        <v>State the length of time that the institution's data will be available in the system at the completion of the contract.</v>
      </c>
      <c r="F151" s="202"/>
      <c r="G151" s="37" t="str">
        <f>VLOOKUP($A151,Questions!$A$2:$X$333,21,0)&amp;""</f>
        <v>Yes</v>
      </c>
      <c r="H151" s="192"/>
      <c r="I151" s="52" t="str">
        <f>VLOOKUP($A151,Questions!$A$2:$X$333,23,0)&amp;""</f>
        <v>Critical Importance</v>
      </c>
      <c r="J151" s="192"/>
      <c r="K151" s="55" t="b">
        <v>0</v>
      </c>
      <c r="L151" s="1"/>
    </row>
    <row r="152" spans="1:12" s="36" customFormat="1" ht="85">
      <c r="A152" s="25" t="str">
        <f>Product!$A$44</f>
        <v>DATA-06</v>
      </c>
      <c r="B152" s="26" t="str">
        <f>VLOOKUP($A152,Product!$A$13:$E$61,2,0)&amp;""</f>
        <v>Are these rights retained even through a provider acquisition or bankruptcy event?*</v>
      </c>
      <c r="C152" s="52" t="str">
        <f>VLOOKUP($A152,Product!$A$13:$E$61,3,0)&amp;""</f>
        <v>yes</v>
      </c>
      <c r="D152" s="41" t="str">
        <f>IF(LEFT(VLOOKUP($A152,Product!$A$13:$E$61,5,0),21)='Auto Responses'!$A$73,'Auto Responses'!$A$74,VLOOKUP($A152,Product!$A$13:$E$61,4,0))&amp;""</f>
        <v>Acting President is appointed through corporate resolution with explicit instructions.</v>
      </c>
      <c r="E152" s="350" t="str">
        <f>VLOOKUP($A152,Product!$A$13:$E$61,5,0)&amp;""</f>
        <v>Provide references, as needed.</v>
      </c>
      <c r="F152" s="202"/>
      <c r="G152" s="37" t="str">
        <f>VLOOKUP($A152,Questions!$A$2:$X$333,21,0)&amp;""</f>
        <v>Yes</v>
      </c>
      <c r="H152" s="192"/>
      <c r="I152" s="52" t="str">
        <f>VLOOKUP($A152,Questions!$A$2:$X$333,23,0)&amp;""</f>
        <v>Critical Importance</v>
      </c>
      <c r="J152" s="192"/>
      <c r="K152" s="55" t="b">
        <v>0</v>
      </c>
      <c r="L152" s="1"/>
    </row>
    <row r="153" spans="1:12" s="36" customFormat="1" ht="30">
      <c r="A153" s="25" t="str">
        <f>Product!$A$45</f>
        <v>DATA-07</v>
      </c>
      <c r="B153" s="26" t="str">
        <f>VLOOKUP($A153,Product!$A$13:$E$61,2,0)&amp;""</f>
        <v>Do backups containing the institution's data ever leave the institution's data zone either physically or via network routing?*</v>
      </c>
      <c r="C153" s="52" t="str">
        <f>VLOOKUP($A153,Product!$A$13:$E$61,3,0)&amp;""</f>
        <v>no</v>
      </c>
      <c r="D153" s="41" t="str">
        <f>IF(LEFT(VLOOKUP($A153,Product!$A$13:$E$61,5,0),21)='Auto Responses'!$A$73,'Auto Responses'!$A$74,VLOOKUP($A153,Product!$A$13:$E$61,4,0))&amp;""</f>
        <v/>
      </c>
      <c r="E153" s="350" t="str">
        <f>VLOOKUP($A153,Product!$A$13:$E$61,5,0)&amp;""</f>
        <v/>
      </c>
      <c r="F153" s="202"/>
      <c r="G153" s="37" t="str">
        <f>VLOOKUP($A153,Questions!$A$2:$X$333,21,0)&amp;""</f>
        <v>No</v>
      </c>
      <c r="H153" s="192"/>
      <c r="I153" s="52" t="str">
        <f>VLOOKUP($A153,Questions!$A$2:$X$333,23,0)&amp;""</f>
        <v>Critical Importance</v>
      </c>
      <c r="J153" s="192"/>
      <c r="K153" s="55" t="b">
        <v>0</v>
      </c>
      <c r="L153" s="1"/>
    </row>
    <row r="154" spans="1:12" s="36" customFormat="1" ht="221">
      <c r="A154" s="25" t="str">
        <f>Product!$A$46</f>
        <v>DATA-08</v>
      </c>
      <c r="B154" s="26" t="str">
        <f>VLOOKUP($A154,Product!$A$13:$E$61,2,0)&amp;""</f>
        <v>Is media used for long-term retention of business data and archival purposes stored in a secure, environmentally protected area?*</v>
      </c>
      <c r="C154" s="52" t="str">
        <f>VLOOKUP($A154,Product!$A$13:$E$61,3,0)&amp;""</f>
        <v>yes</v>
      </c>
      <c r="D154" s="41" t="str">
        <f>IF(LEFT(VLOOKUP($A154,Product!$A$13:$E$61,5,0),21)='Auto Responses'!$A$73,'Auto Responses'!$A$74,VLOOKUP($A154,Product!$A$13:$E$61,4,0))&amp;""</f>
        <v>We do not use physical media for long-term retention. All data is stored within Liquid Web LLC’s SOC 2–audited data centers, which provide secure, environmentally controlled facilities with fire suppression, flood detection, redundant power, and climate protections.</v>
      </c>
      <c r="E154" s="350" t="str">
        <f>VLOOKUP($A154,Product!$A$13:$E$61,5,0)&amp;""</f>
        <v>Provide a general summary of your archival environment.</v>
      </c>
      <c r="F154" s="202"/>
      <c r="G154" s="37" t="str">
        <f>VLOOKUP($A154,Questions!$A$2:$X$333,21,0)&amp;""</f>
        <v>Yes</v>
      </c>
      <c r="H154" s="192"/>
      <c r="I154" s="52" t="str">
        <f>VLOOKUP($A154,Questions!$A$2:$X$333,23,0)&amp;""</f>
        <v>Critical Importance</v>
      </c>
      <c r="J154" s="192"/>
      <c r="K154" s="55" t="b">
        <v>0</v>
      </c>
      <c r="L154" s="1"/>
    </row>
    <row r="155" spans="1:12" s="36" customFormat="1" ht="102">
      <c r="A155" s="25" t="str">
        <f>Product!$A$47</f>
        <v>DATA-09</v>
      </c>
      <c r="B155" s="26" t="str">
        <f>VLOOKUP($A155,Product!$A$13:$E$61,2,0)&amp;""</f>
        <v>At the completion of this contract, will data be returned to the institution and/or deleted from all your systems and archives?</v>
      </c>
      <c r="C155" s="52" t="str">
        <f>VLOOKUP($A155,Product!$A$13:$E$61,3,0)&amp;""</f>
        <v>yes</v>
      </c>
      <c r="D155" s="41" t="str">
        <f>IF(LEFT(VLOOKUP($A155,Product!$A$13:$E$61,5,0),21)='Auto Responses'!$A$73,'Auto Responses'!$A$74,VLOOKUP($A155,Product!$A$13:$E$61,4,0))&amp;""</f>
        <v>deleted after 90 days</v>
      </c>
      <c r="E155" s="350" t="str">
        <f>VLOOKUP($A155,Product!$A$13:$E$61,5,0)&amp;""</f>
        <v>State the length of time that the institution's data will be available in the system at the completion of the contract.</v>
      </c>
      <c r="F155" s="202"/>
      <c r="G155" s="37" t="str">
        <f>VLOOKUP($A155,Questions!$A$2:$X$333,21,0)&amp;""</f>
        <v>Yes</v>
      </c>
      <c r="H155" s="192"/>
      <c r="I155" s="52" t="str">
        <f>VLOOKUP($A155,Questions!$A$2:$X$333,23,0)&amp;""</f>
        <v>Standard Importance</v>
      </c>
      <c r="J155" s="192"/>
      <c r="K155" s="55" t="b">
        <v>0</v>
      </c>
      <c r="L155" s="1"/>
    </row>
    <row r="156" spans="1:12" s="36" customFormat="1" ht="153">
      <c r="A156" s="25" t="str">
        <f>Product!$A$48</f>
        <v>DATA-10</v>
      </c>
      <c r="B156" s="26" t="str">
        <f>VLOOKUP($A156,Product!$A$13:$E$61,2,0)&amp;""</f>
        <v>Can the institution extract a full or partial backup of data?</v>
      </c>
      <c r="C156" s="52" t="str">
        <f>VLOOKUP($A156,Product!$A$13:$E$61,3,0)&amp;""</f>
        <v>yes</v>
      </c>
      <c r="D156" s="41" t="str">
        <f>IF(LEFT(VLOOKUP($A156,Product!$A$13:$E$61,5,0),21)='Auto Responses'!$A$73,'Auto Responses'!$A$74,VLOOKUP($A156,Product!$A$13:$E$61,4,0))&amp;""</f>
        <v>Institutions can export full or partial data sets using built-in export features (Excel and PDF). Database backups are not provided directly, as they require the proprietary application to interpret.</v>
      </c>
      <c r="E156" s="350" t="str">
        <f>VLOOKUP($A156,Product!$A$13:$E$61,5,0)&amp;""</f>
        <v>Provide a general summary of how full and partial backups of data can be extracted.</v>
      </c>
      <c r="F156" s="202"/>
      <c r="G156" s="37" t="str">
        <f>VLOOKUP($A156,Questions!$A$2:$X$333,21,0)&amp;""</f>
        <v>Yes</v>
      </c>
      <c r="H156" s="192"/>
      <c r="I156" s="52" t="str">
        <f>VLOOKUP($A156,Questions!$A$2:$X$333,23,0)&amp;""</f>
        <v>Standard Importance</v>
      </c>
      <c r="J156" s="192"/>
      <c r="K156" s="55" t="b">
        <v>0</v>
      </c>
      <c r="L156" s="1"/>
    </row>
    <row r="157" spans="1:12" s="36" customFormat="1" ht="119">
      <c r="A157" s="25" t="str">
        <f>Product!$A$49</f>
        <v>DATA-11</v>
      </c>
      <c r="B157" s="26" t="str">
        <f>VLOOKUP($A157,Product!$A$13:$E$61,2,0)&amp;""</f>
        <v>Do current backups include all operating system software, utilities, security software, application software, and data files necessary for recovery?</v>
      </c>
      <c r="C157" s="52" t="str">
        <f>VLOOKUP($A157,Product!$A$13:$E$61,3,0)&amp;""</f>
        <v>yes</v>
      </c>
      <c r="D157" s="41" t="str">
        <f>IF(LEFT(VLOOKUP($A157,Product!$A$13:$E$61,5,0),21)='Auto Responses'!$A$73,'Auto Responses'!$A$74,VLOOKUP($A157,Product!$A$13:$E$61,4,0))&amp;""</f>
        <v>Operating system software, utilities, and security software are included under the hosting provider’s managed backup and recovery processes.</v>
      </c>
      <c r="E157" s="350" t="str">
        <f>VLOOKUP($A157,Product!$A$13:$E$61,5,0)&amp;""</f>
        <v>Decribe your overall strategy to accomplish these elements.</v>
      </c>
      <c r="F157" s="202"/>
      <c r="G157" s="37" t="str">
        <f>VLOOKUP($A157,Questions!$A$2:$X$333,21,0)&amp;""</f>
        <v>Yes</v>
      </c>
      <c r="H157" s="192"/>
      <c r="I157" s="52" t="str">
        <f>VLOOKUP($A157,Questions!$A$2:$X$333,23,0)&amp;""</f>
        <v>Standard Importance</v>
      </c>
      <c r="J157" s="192"/>
      <c r="K157" s="55" t="b">
        <v>0</v>
      </c>
      <c r="L157" s="1"/>
    </row>
    <row r="158" spans="1:12" s="36" customFormat="1" ht="289">
      <c r="A158" s="25" t="str">
        <f>Product!$A$50</f>
        <v>DATA-12</v>
      </c>
      <c r="B158" s="26" t="str">
        <f>VLOOKUP($A158,Product!$A$13:$E$61,2,0)&amp;""</f>
        <v>Are you performing off-site backups (i.e., digitally moved off site)?</v>
      </c>
      <c r="C158" s="52" t="str">
        <f>VLOOKUP($A158,Product!$A$13:$E$61,3,0)&amp;""</f>
        <v>yes</v>
      </c>
      <c r="D158" s="41" t="str">
        <f>IF(LEFT(VLOOKUP($A158,Product!$A$13:$E$61,5,0),21)='Auto Responses'!$A$73,'Auto Responses'!$A$74,VLOOKUP($A158,Product!$A$13:$E$61,4,0))&amp;""</f>
        <v>ASC performs daily, weekly, and monthly backups. Backups are digitally stored off-site from the primary environment. Liquid Web LLC, the hosting provider, also performs managed backups of the dedicated server to separate storage systems. This ensures data is protected both by ASC’s off-site backup process and Liquid Web’s managed infrastructure backups</v>
      </c>
      <c r="E158" s="350" t="str">
        <f>VLOOKUP($A158,Product!$A$13:$E$61,5,0)&amp;""</f>
        <v>Summarize your off-site backup strategy.</v>
      </c>
      <c r="F158" s="202"/>
      <c r="G158" s="37" t="str">
        <f>VLOOKUP($A158,Questions!$A$2:$X$333,21,0)&amp;""</f>
        <v>Yes</v>
      </c>
      <c r="H158" s="192"/>
      <c r="I158" s="52" t="str">
        <f>VLOOKUP($A158,Questions!$A$2:$X$333,23,0)&amp;""</f>
        <v>Standard Importance</v>
      </c>
      <c r="J158" s="192"/>
      <c r="K158" s="55" t="b">
        <v>0</v>
      </c>
      <c r="L158" s="1"/>
    </row>
    <row r="159" spans="1:12" s="36" customFormat="1" ht="68">
      <c r="A159" s="25" t="str">
        <f>Product!$A$51</f>
        <v>DATA-13</v>
      </c>
      <c r="B159" s="26" t="str">
        <f>VLOOKUP($A159,Product!$A$13:$E$61,2,0)&amp;""</f>
        <v>Are physical backups taken off-site (i.e., physically moved off site)?</v>
      </c>
      <c r="C159" s="52" t="str">
        <f>VLOOKUP($A159,Product!$A$13:$E$61,3,0)&amp;""</f>
        <v>yes</v>
      </c>
      <c r="D159" s="41" t="str">
        <f>IF(LEFT(VLOOKUP($A159,Product!$A$13:$E$61,5,0),21)='Auto Responses'!$A$73,'Auto Responses'!$A$74,VLOOKUP($A159,Product!$A$13:$E$61,4,0))&amp;""</f>
        <v>Handled by hosting provider (Liquid Web LLC, SOC 2 report available)”.</v>
      </c>
      <c r="E159" s="350" t="str">
        <f>VLOOKUP($A159,Product!$A$13:$E$61,5,0)&amp;""</f>
        <v>Provide the distance (in miles) between the primary and off-site locations.</v>
      </c>
      <c r="F159" s="202"/>
      <c r="G159" s="37" t="str">
        <f>VLOOKUP($A159,Questions!$A$2:$X$333,21,0)&amp;""</f>
        <v>Yes</v>
      </c>
      <c r="H159" s="192"/>
      <c r="I159" s="52" t="str">
        <f>VLOOKUP($A159,Questions!$A$2:$X$333,23,0)&amp;""</f>
        <v>Standard Importance</v>
      </c>
      <c r="J159" s="192"/>
      <c r="K159" s="55" t="b">
        <v>0</v>
      </c>
      <c r="L159" s="1"/>
    </row>
    <row r="160" spans="1:12" s="36" customFormat="1" ht="388">
      <c r="A160" s="25" t="str">
        <f>Product!$A$52</f>
        <v>DATA-14</v>
      </c>
      <c r="B160" s="26" t="str">
        <f>VLOOKUP($A160,Product!$A$13:$E$61,2,0)&amp;""</f>
        <v>Are data backups encrypted?</v>
      </c>
      <c r="C160" s="52" t="str">
        <f>VLOOKUP($A160,Product!$A$13:$E$61,3,0)&amp;""</f>
        <v>yes</v>
      </c>
      <c r="D160" s="41" t="str">
        <f>IF(LEFT(VLOOKUP($A160,Product!$A$13:$E$61,5,0),21)='Auto Responses'!$A$73,'Auto Responses'!$A$74,VLOOKUP($A160,Product!$A$13:$E$61,4,0))&amp;""</f>
        <v>Backups of institutional data in TalEval and Discovery Pro are encrypted—since data is encrypted at rest and in transit, backed-up versions remain protected. Liquid Web LLC, the hosting provider, also performs server-level backups; while encryption is optional by default, they offer encrypted backup options (e.g., AES-based encryption in Acronis Cyber Backups) which can be activated depending on customer needs. In HIPAA hosting plans, backups are encrypted both in transit and at rest</v>
      </c>
      <c r="E160" s="350" t="str">
        <f>VLOOKUP($A160,Product!$A$13:$E$61,5,0)&amp;""</f>
        <v>Summarize the encryption algorithm/strategy you are using to secure backups.</v>
      </c>
      <c r="F160" s="202"/>
      <c r="G160" s="37" t="str">
        <f>VLOOKUP($A160,Questions!$A$2:$X$333,21,0)&amp;""</f>
        <v>Yes</v>
      </c>
      <c r="H160" s="192"/>
      <c r="I160" s="52" t="str">
        <f>VLOOKUP($A160,Questions!$A$2:$X$333,23,0)&amp;""</f>
        <v>Minor Importance</v>
      </c>
      <c r="J160" s="192"/>
      <c r="K160" s="55" t="b">
        <v>0</v>
      </c>
      <c r="L160" s="1"/>
    </row>
    <row r="161" spans="1:12" s="36" customFormat="1" ht="119">
      <c r="A161" s="25" t="str">
        <f>Product!$A$53</f>
        <v>DATA-15</v>
      </c>
      <c r="B161" s="26" t="str">
        <f>VLOOKUP($A161,Product!$A$13:$E$61,2,0)&amp;""</f>
        <v>Do you have a media handling process that is documented and currently implemented that meets established business needs and regulatory requirements, including end-of-life, repurposing, and data-sanitization procedures?</v>
      </c>
      <c r="C161" s="52" t="str">
        <f>VLOOKUP($A161,Product!$A$13:$E$61,3,0)&amp;""</f>
        <v>yes</v>
      </c>
      <c r="D161" s="41" t="str">
        <f>IF(LEFT(VLOOKUP($A161,Product!$A$13:$E$61,5,0),21)='Auto Responses'!$A$73,'Auto Responses'!$A$74,VLOOKUP($A161,Product!$A$13:$E$61,4,0))&amp;""</f>
        <v>ASC doesn't run its own hardware data center.  When data is deleted, it stays deleted, and no sensitive media is repurposed without sanitization.</v>
      </c>
      <c r="E161" s="350" t="str">
        <f>VLOOKUP($A161,Product!$A$13:$E$61,5,0)&amp;""</f>
        <v>Provide documented details of this process (link or attached).</v>
      </c>
      <c r="F161" s="202"/>
      <c r="G161" s="37" t="str">
        <f>VLOOKUP($A161,Questions!$A$2:$X$333,21,0)&amp;""</f>
        <v>Yes</v>
      </c>
      <c r="H161" s="192"/>
      <c r="I161" s="52" t="str">
        <f>VLOOKUP($A161,Questions!$A$2:$X$333,23,0)&amp;""</f>
        <v>Standard Importance</v>
      </c>
      <c r="J161" s="192"/>
      <c r="K161" s="55" t="b">
        <v>0</v>
      </c>
      <c r="L161" s="1"/>
    </row>
    <row r="162" spans="1:12" s="36" customFormat="1" ht="30">
      <c r="A162" s="25" t="str">
        <f>Product!$A$54</f>
        <v>DATA-16</v>
      </c>
      <c r="B162" s="26" t="str">
        <f>VLOOKUP($A162,Product!$A$13:$E$61,2,0)&amp;""</f>
        <v>Does the process described in DATA-15 adhere to DoD 5220.22-M and/or NIST SP 800-88 standards?</v>
      </c>
      <c r="C162" s="52" t="str">
        <f>VLOOKUP($A162,Product!$A$13:$E$61,3,0)&amp;""</f>
        <v>yes</v>
      </c>
      <c r="D162" s="41" t="str">
        <f>IF(LEFT(VLOOKUP($A162,Product!$A$13:$E$61,5,0),21)='Auto Responses'!$A$73,'Auto Responses'!$A$74,VLOOKUP($A162,Product!$A$13:$E$61,4,0))&amp;""</f>
        <v/>
      </c>
      <c r="E162" s="350" t="str">
        <f>VLOOKUP($A162,Product!$A$13:$E$61,5,0)&amp;""</f>
        <v/>
      </c>
      <c r="F162" s="202"/>
      <c r="G162" s="37" t="str">
        <f>VLOOKUP($A162,Questions!$A$2:$X$333,21,0)&amp;""</f>
        <v>Yes</v>
      </c>
      <c r="H162" s="192"/>
      <c r="I162" s="52" t="str">
        <f>VLOOKUP($A162,Questions!$A$2:$X$333,23,0)&amp;""</f>
        <v>Standard Importance</v>
      </c>
      <c r="J162" s="192"/>
      <c r="K162" s="55" t="b">
        <v>0</v>
      </c>
      <c r="L162" s="1"/>
    </row>
    <row r="163" spans="1:12" s="36" customFormat="1" ht="30">
      <c r="A163" s="25" t="str">
        <f>Product!$A$55</f>
        <v>DATA-17</v>
      </c>
      <c r="B163" s="26" t="str">
        <f>VLOOKUP($A163,Product!$A$13:$E$61,2,0)&amp;""</f>
        <v>Does your staff (or third party) have access to institutional data (e.g., financial, PHI, or other sensitive information) through any means?</v>
      </c>
      <c r="C163" s="52" t="str">
        <f>VLOOKUP($A163,Product!$A$13:$E$61,3,0)&amp;""</f>
        <v>no</v>
      </c>
      <c r="D163" s="41" t="str">
        <f>IF(LEFT(VLOOKUP($A163,Product!$A$13:$E$61,5,0),21)='Auto Responses'!$A$73,'Auto Responses'!$A$74,VLOOKUP($A163,Product!$A$13:$E$61,4,0))&amp;""</f>
        <v/>
      </c>
      <c r="E163" s="350" t="str">
        <f>VLOOKUP($A163,Product!$A$13:$E$61,5,0)&amp;""</f>
        <v/>
      </c>
      <c r="F163" s="202"/>
      <c r="G163" s="37" t="str">
        <f>VLOOKUP($A163,Questions!$A$2:$X$333,21,0)&amp;""</f>
        <v>Yes</v>
      </c>
      <c r="H163" s="192"/>
      <c r="I163" s="52" t="str">
        <f>VLOOKUP($A163,Questions!$A$2:$X$333,23,0)&amp;""</f>
        <v>Standard Importance</v>
      </c>
      <c r="J163" s="192"/>
      <c r="K163" s="55" t="b">
        <v>0</v>
      </c>
      <c r="L163" s="1"/>
    </row>
    <row r="164" spans="1:12" s="36" customFormat="1" ht="85">
      <c r="A164" s="25" t="str">
        <f>Product!$A$56</f>
        <v>DATA-18</v>
      </c>
      <c r="B164" s="26" t="str">
        <f>VLOOKUP($A164,Product!$A$13:$E$61,2,0)&amp;""</f>
        <v>Do you have a documented and currently implemented strategy for securing employee workstations when they work remotely (i.e., not in a trusted computing environment)?</v>
      </c>
      <c r="C164" s="52" t="str">
        <f>VLOOKUP($A164,Product!$A$13:$E$61,3,0)&amp;""</f>
        <v>yes</v>
      </c>
      <c r="D164" s="41" t="str">
        <f>IF(LEFT(VLOOKUP($A164,Product!$A$13:$E$61,5,0),21)='Auto Responses'!$A$73,'Auto Responses'!$A$74,VLOOKUP($A164,Product!$A$13:$E$61,4,0))&amp;""</f>
        <v>Handled by hosting provider (Liquid Web LLC, SOC 2 report available)”.</v>
      </c>
      <c r="E164" s="350" t="str">
        <f>VLOOKUP($A164,Product!$A$13:$E$61,5,0)&amp;""</f>
        <v>Provide a detailed summary outlining the security controls implemented to protect the institution's data.</v>
      </c>
      <c r="F164" s="202"/>
      <c r="G164" s="37" t="str">
        <f>VLOOKUP($A164,Questions!$A$2:$X$333,21,0)&amp;""</f>
        <v>Yes</v>
      </c>
      <c r="H164" s="192"/>
      <c r="I164" s="52" t="str">
        <f>VLOOKUP($A164,Questions!$A$2:$X$333,23,0)&amp;""</f>
        <v>Standard Importance</v>
      </c>
      <c r="J164" s="192"/>
      <c r="K164" s="55" t="b">
        <v>0</v>
      </c>
      <c r="L164" s="1"/>
    </row>
    <row r="165" spans="1:12" s="36" customFormat="1" ht="85">
      <c r="A165" s="25" t="str">
        <f>Product!$A$57</f>
        <v>DATA-19</v>
      </c>
      <c r="B165" s="26" t="str">
        <f>VLOOKUP($A165,Product!$A$13:$E$61,2,0)&amp;""</f>
        <v>Does the environment provide for dedicated single-tenant capabilities? If not, describe how your solution or environment separates data from different customers (e.g., logically, physically, single tenancy, multi-tenancy).</v>
      </c>
      <c r="C165" s="52" t="str">
        <f>VLOOKUP($A165,Product!$A$13:$E$61,3,0)&amp;""</f>
        <v>yes</v>
      </c>
      <c r="D165" s="41" t="str">
        <f>IF(LEFT(VLOOKUP($A165,Product!$A$13:$E$61,5,0),21)='Auto Responses'!$A$73,'Auto Responses'!$A$74,VLOOKUP($A165,Product!$A$13:$E$61,4,0))&amp;""</f>
        <v>separate tables in SQL</v>
      </c>
      <c r="E165" s="350" t="str">
        <f>VLOOKUP($A165,Product!$A$13:$E$61,5,0)&amp;""</f>
        <v>Describe or provide a reference to how institution data is separated from that of other customers.</v>
      </c>
      <c r="F165" s="202"/>
      <c r="G165" s="37" t="str">
        <f>VLOOKUP($A165,Questions!$A$2:$X$333,21,0)&amp;""</f>
        <v>Yes</v>
      </c>
      <c r="H165" s="192"/>
      <c r="I165" s="52" t="str">
        <f>VLOOKUP($A165,Questions!$A$2:$X$333,23,0)&amp;""</f>
        <v>Minor Importance</v>
      </c>
      <c r="J165" s="192"/>
      <c r="K165" s="55" t="b">
        <v>0</v>
      </c>
      <c r="L165" s="1"/>
    </row>
    <row r="166" spans="1:12" s="36" customFormat="1" ht="51">
      <c r="A166" s="25" t="str">
        <f>Product!$A$58</f>
        <v>DATA-20</v>
      </c>
      <c r="B166" s="26" t="str">
        <f>VLOOKUP($A166,Product!$A$13:$E$61,2,0)&amp;""</f>
        <v>Are ownership rights to all data, inputs, outputs, and metadata retained by the institution?</v>
      </c>
      <c r="C166" s="52" t="str">
        <f>VLOOKUP($A166,Product!$A$13:$E$61,3,0)&amp;""</f>
        <v>yes</v>
      </c>
      <c r="D166" s="41" t="str">
        <f>IF(LEFT(VLOOKUP($A166,Product!$A$13:$E$61,5,0),21)='Auto Responses'!$A$73,'Auto Responses'!$A$74,VLOOKUP($A166,Product!$A$13:$E$61,4,0))&amp;""</f>
        <v>website terms and license agreement</v>
      </c>
      <c r="E166" s="350" t="str">
        <f>VLOOKUP($A166,Product!$A$13:$E$61,5,0)&amp;""</f>
        <v>Provide reference to your data ownership documention.</v>
      </c>
      <c r="F166" s="202"/>
      <c r="G166" s="37" t="str">
        <f>VLOOKUP($A166,Questions!$A$2:$X$333,21,0)&amp;""</f>
        <v>Yes</v>
      </c>
      <c r="H166" s="192"/>
      <c r="I166" s="52" t="str">
        <f>VLOOKUP($A166,Questions!$A$2:$X$333,23,0)&amp;""</f>
        <v>Minor Importance</v>
      </c>
      <c r="J166" s="192"/>
      <c r="K166" s="55" t="b">
        <v>0</v>
      </c>
      <c r="L166" s="1"/>
    </row>
    <row r="167" spans="1:12" s="36" customFormat="1" ht="68">
      <c r="A167" s="25" t="str">
        <f>Product!$A$59</f>
        <v>DATA-21</v>
      </c>
      <c r="B167" s="26" t="str">
        <f>VLOOKUP($A167,Product!$A$13:$E$61,2,0)&amp;""</f>
        <v>In the event of imminent bankruptcy, closing of business, or retirement of service, will you provide 90 days for customers to get their data out of the system and migrate applications?</v>
      </c>
      <c r="C167" s="52" t="str">
        <f>VLOOKUP($A167,Product!$A$13:$E$61,3,0)&amp;""</f>
        <v>yes</v>
      </c>
      <c r="D167" s="41" t="str">
        <f>IF(LEFT(VLOOKUP($A167,Product!$A$13:$E$61,5,0),21)='Auto Responses'!$A$73,'Auto Responses'!$A$74,VLOOKUP($A167,Product!$A$13:$E$61,4,0))&amp;""</f>
        <v>email and upon login to the software</v>
      </c>
      <c r="E167" s="350" t="str">
        <f>VLOOKUP($A167,Product!$A$13:$E$61,5,0)&amp;""</f>
        <v>State how the institution will be notified of imminent termination.</v>
      </c>
      <c r="F167" s="202"/>
      <c r="G167" s="37" t="str">
        <f>VLOOKUP($A167,Questions!$A$2:$X$333,21,0)&amp;""</f>
        <v>Yes</v>
      </c>
      <c r="H167" s="192"/>
      <c r="I167" s="52" t="str">
        <f>VLOOKUP($A167,Questions!$A$2:$X$333,23,0)&amp;""</f>
        <v>Minor Importance</v>
      </c>
      <c r="J167" s="192"/>
      <c r="K167" s="55" t="b">
        <v>0</v>
      </c>
      <c r="L167" s="1"/>
    </row>
    <row r="168" spans="1:12" s="36" customFormat="1" ht="204">
      <c r="A168" s="25" t="str">
        <f>Product!$A$60</f>
        <v>DATA-22</v>
      </c>
      <c r="B168" s="26" t="str">
        <f>VLOOKUP($A168,Product!$A$13:$E$61,2,0)&amp;""</f>
        <v>Are involatile backup copies made according to predefined schedules and securely stored and protected?</v>
      </c>
      <c r="C168" s="52" t="str">
        <f>VLOOKUP($A168,Product!$A$13:$E$61,3,0)&amp;""</f>
        <v>yes</v>
      </c>
      <c r="D168" s="41" t="str">
        <f>IF(LEFT(VLOOKUP($A168,Product!$A$13:$E$61,5,0),21)='Auto Responses'!$A$73,'Auto Responses'!$A$74,VLOOKUP($A168,Product!$A$13:$E$61,4,0))&amp;""</f>
        <v>Backups are made according to predefined schedules: daily backups rotated every 7 days, weekly backups retained for 8 weeks, and monthly backups retained for 3 months. All backups are encrypted, access-controlled, and securely stored</v>
      </c>
      <c r="E168" s="350" t="str">
        <f>VLOOKUP($A168,Product!$A$13:$E$61,5,0)&amp;""</f>
        <v>If your strategy uses different processes for services and data, ensure that all strategies are clearly stated and supported.</v>
      </c>
      <c r="F168" s="202"/>
      <c r="G168" s="37" t="str">
        <f>VLOOKUP($A168,Questions!$A$2:$X$333,21,0)&amp;""</f>
        <v>Yes</v>
      </c>
      <c r="H168" s="192"/>
      <c r="I168" s="52" t="str">
        <f>VLOOKUP($A168,Questions!$A$2:$X$333,23,0)&amp;""</f>
        <v>Minor Importance</v>
      </c>
      <c r="J168" s="192"/>
      <c r="K168" s="55" t="b">
        <v>0</v>
      </c>
      <c r="L168" s="1"/>
    </row>
    <row r="169" spans="1:12" s="36" customFormat="1" ht="60">
      <c r="A169" s="25" t="str">
        <f>Product!$A$61</f>
        <v>DATA-23</v>
      </c>
      <c r="B169" s="26" t="str">
        <f>VLOOKUP($A169,Product!$A$13:$E$61,2,0)&amp;""</f>
        <v>Do you have a cryptographic key management process (generation, exchange, storage, safeguards, use, vetting, and replacement) that is documented and currently implemented, for all system components (e.g., database, system, web, etc.)?</v>
      </c>
      <c r="C169" s="52" t="str">
        <f>VLOOKUP($A169,Product!$A$13:$E$61,3,0)&amp;""</f>
        <v>yes</v>
      </c>
      <c r="D169" s="41" t="str">
        <f>IF(LEFT(VLOOKUP($A169,Product!$A$13:$E$61,5,0),21)='Auto Responses'!$A$73,'Auto Responses'!$A$74,VLOOKUP($A169,Product!$A$13:$E$61,4,0))&amp;""</f>
        <v/>
      </c>
      <c r="E169" s="350" t="str">
        <f>VLOOKUP($A169,Product!$A$13:$E$61,5,0)&amp;""</f>
        <v/>
      </c>
      <c r="F169" s="202"/>
      <c r="G169" s="37" t="str">
        <f>VLOOKUP($A169,Questions!$A$2:$X$333,21,0)&amp;""</f>
        <v>Yes</v>
      </c>
      <c r="H169" s="192"/>
      <c r="I169" s="52" t="str">
        <f>VLOOKUP($A169,Questions!$A$2:$X$333,23,0)&amp;""</f>
        <v>Minor Importance</v>
      </c>
      <c r="J169" s="192"/>
      <c r="K169" s="55" t="b">
        <v>0</v>
      </c>
      <c r="L169" s="1"/>
    </row>
    <row r="170" spans="1:12" s="1" customFormat="1" ht="18">
      <c r="A170" s="70" t="str">
        <f>VLOOKUP(LEFT($A171,4),'Auto Responses'!$N$4:$O$38,2,0)&amp;""</f>
        <v xml:space="preserve"> Application/Service Security</v>
      </c>
      <c r="B170" s="29"/>
      <c r="C170" s="38"/>
      <c r="D170" s="38"/>
      <c r="E170" s="351"/>
      <c r="F170" s="139" t="s">
        <v>1089</v>
      </c>
      <c r="G170" s="358" t="s">
        <v>925</v>
      </c>
      <c r="H170" s="358" t="s">
        <v>927</v>
      </c>
      <c r="I170" s="358" t="s">
        <v>19</v>
      </c>
      <c r="J170" s="358" t="s">
        <v>912</v>
      </c>
      <c r="K170" s="38"/>
    </row>
    <row r="171" spans="1:12" s="36" customFormat="1" ht="68">
      <c r="A171" s="25" t="str">
        <f>Infrastructure!$A$20</f>
        <v>APPL-01</v>
      </c>
      <c r="B171" s="26" t="str">
        <f>VLOOKUP($A171,Infrastructure!$A$13:$E$74,2,0)&amp;""</f>
        <v>Are access controls for institutional accounts based on structured rules, such as role-based access control (RBAC), attribute-based access control (ABAC), or policy-based access control (PBAC)?*</v>
      </c>
      <c r="C171" s="52" t="str">
        <f>VLOOKUP($A171,Infrastructure!$A$13:$E$74,3,0)&amp;""</f>
        <v>yes</v>
      </c>
      <c r="D171" s="41" t="str">
        <f>IF(LEFT(VLOOKUP($A171,Infrastructure!$A$13:$E$74,5,0),21)='Auto Responses'!$A$73,'Auto Responses'!$A$74,VLOOKUP($A171,Infrastructure!$A$13:$E$74,4,0))&amp;""</f>
        <v>Handled by hosting provider (Liquid Web LLC, SOC 2 report available)”.</v>
      </c>
      <c r="E171" s="350" t="str">
        <f>VLOOKUP($A171,Infrastructure!$A$13:$E$74,5,0)&amp;""</f>
        <v>Describe available roles.</v>
      </c>
      <c r="F171" s="202"/>
      <c r="G171" s="37" t="str">
        <f>VLOOKUP($A171,Questions!$A$2:$X$333,21,0)&amp;""</f>
        <v>Yes</v>
      </c>
      <c r="H171" s="192"/>
      <c r="I171" s="52" t="str">
        <f>VLOOKUP($A171,Questions!$A$2:$X$333,23,0)&amp;""</f>
        <v>Critical Importance</v>
      </c>
      <c r="J171" s="192"/>
      <c r="K171" s="55" t="b">
        <v>0</v>
      </c>
      <c r="L171" s="1"/>
    </row>
    <row r="172" spans="1:12" s="36" customFormat="1" ht="68">
      <c r="A172" s="25" t="str">
        <f>Infrastructure!$A$21</f>
        <v>APPL-02</v>
      </c>
      <c r="B172" s="26" t="str">
        <f>VLOOKUP($A172,Infrastructure!$A$13:$E$74,2,0)&amp;""</f>
        <v>Are you using a web application firewall (WAF)?*</v>
      </c>
      <c r="C172" s="52" t="str">
        <f>VLOOKUP($A172,Infrastructure!$A$13:$E$74,3,0)&amp;""</f>
        <v>yes</v>
      </c>
      <c r="D172" s="41" t="str">
        <f>IF(LEFT(VLOOKUP($A172,Infrastructure!$A$13:$E$74,5,0),21)='Auto Responses'!$A$73,'Auto Responses'!$A$74,VLOOKUP($A172,Infrastructure!$A$13:$E$74,4,0))&amp;""</f>
        <v>Handled by hosting provider (Liquid Web LLC, SOC 2 report available)”.</v>
      </c>
      <c r="E172" s="350" t="str">
        <f>VLOOKUP($A172,Infrastructure!$A$13:$E$74,5,0)&amp;""</f>
        <v>Describe the currently implemented WAF.</v>
      </c>
      <c r="F172" s="202"/>
      <c r="G172" s="37" t="str">
        <f>VLOOKUP($A172,Questions!$A$2:$X$333,21,0)&amp;""</f>
        <v>Yes</v>
      </c>
      <c r="H172" s="192"/>
      <c r="I172" s="52" t="str">
        <f>VLOOKUP($A172,Questions!$A$2:$X$333,23,0)&amp;""</f>
        <v>Critical Importance</v>
      </c>
      <c r="J172" s="192"/>
      <c r="K172" s="55" t="b">
        <v>0</v>
      </c>
      <c r="L172" s="1"/>
    </row>
    <row r="173" spans="1:12" s="36" customFormat="1" ht="272">
      <c r="A173" s="25" t="str">
        <f>Infrastructure!$A$22</f>
        <v>APPL-03</v>
      </c>
      <c r="B173" s="26" t="str">
        <f>VLOOKUP($A173,Infrastructure!$A$13:$E$74,2,0)&amp;""</f>
        <v>Are only currently supported operating system(s), software, and libraries leveraged by the system(s)/application(s) that will have access to institution's data?*</v>
      </c>
      <c r="C173" s="52" t="str">
        <f>VLOOKUP($A173,Infrastructure!$A$13:$E$74,3,0)&amp;""</f>
        <v>yes</v>
      </c>
      <c r="D173" s="41" t="str">
        <f>IF(LEFT(VLOOKUP($A173,Infrastructure!$A$13:$E$74,5,0),21)='Auto Responses'!$A$73,'Auto Responses'!$A$74,VLOOKUP($A173,Infrastructure!$A$13:$E$74,4,0))&amp;""</f>
        <v>ASC’s dedicated server environment runs on a Microsoft Windows Server operating system that is fully supported by Microsoft and receives regular security updates. Application software and libraries used by TalEval and Discovery Pro are also maintained on currently supported versions to ensure continued security patching and vendor support</v>
      </c>
      <c r="E173" s="350" t="str">
        <f>VLOOKUP($A173,Infrastructure!$A$13:$E$74,5,0)&amp;""</f>
        <v>Please provide a list of all required dependencies.</v>
      </c>
      <c r="F173" s="202"/>
      <c r="G173" s="37" t="str">
        <f>VLOOKUP($A173,Questions!$A$2:$X$333,21,0)&amp;""</f>
        <v>Yes</v>
      </c>
      <c r="H173" s="192"/>
      <c r="I173" s="52" t="str">
        <f>VLOOKUP($A173,Questions!$A$2:$X$333,23,0)&amp;""</f>
        <v>Critical Importance</v>
      </c>
      <c r="J173" s="192"/>
      <c r="K173" s="55" t="b">
        <v>0</v>
      </c>
      <c r="L173" s="1"/>
    </row>
    <row r="174" spans="1:12" s="36" customFormat="1" ht="68">
      <c r="A174" s="25" t="str">
        <f>Infrastructure!$A$23</f>
        <v>APPL-04</v>
      </c>
      <c r="B174" s="26" t="str">
        <f>VLOOKUP($A174,Infrastructure!$A$13:$E$74,2,0)&amp;""</f>
        <v>Does your application require access to location or GPS data?</v>
      </c>
      <c r="C174" s="52" t="str">
        <f>VLOOKUP($A174,Infrastructure!$A$13:$E$74,3,0)&amp;""</f>
        <v>no</v>
      </c>
      <c r="D174" s="41" t="str">
        <f>IF(LEFT(VLOOKUP($A174,Infrastructure!$A$13:$E$74,5,0),21)='Auto Responses'!$A$73,'Auto Responses'!$A$74,VLOOKUP($A174,Infrastructure!$A$13:$E$74,4,0))&amp;""</f>
        <v/>
      </c>
      <c r="E174" s="350" t="str">
        <f>VLOOKUP($A174,Infrastructure!$A$13:$E$74,5,0)&amp;""</f>
        <v>Please indicate any future plans that would require access to this data</v>
      </c>
      <c r="F174" s="202"/>
      <c r="G174" s="37" t="str">
        <f>VLOOKUP($A174,Questions!$A$2:$X$333,21,0)&amp;""</f>
        <v>No</v>
      </c>
      <c r="H174" s="192"/>
      <c r="I174" s="52" t="str">
        <f>VLOOKUP($A174,Questions!$A$2:$X$333,23,0)&amp;""</f>
        <v>Critical Importance</v>
      </c>
      <c r="J174" s="192"/>
      <c r="K174" s="55" t="b">
        <v>0</v>
      </c>
      <c r="L174" s="1"/>
    </row>
    <row r="175" spans="1:12" s="36" customFormat="1" ht="340">
      <c r="A175" s="25" t="str">
        <f>Infrastructure!$A$24</f>
        <v>APPL-05</v>
      </c>
      <c r="B175" s="26" t="str">
        <f>VLOOKUP($A175,Infrastructure!$A$13:$E$74,2,0)&amp;""</f>
        <v>Does your application provide separation of duties between security administration, system administration, and standard user functions?*</v>
      </c>
      <c r="C175" s="52" t="str">
        <f>VLOOKUP($A175,Infrastructure!$A$13:$E$74,3,0)&amp;""</f>
        <v>yes</v>
      </c>
      <c r="D175" s="41" t="str">
        <f>IF(LEFT(VLOOKUP($A175,Infrastructure!$A$13:$E$74,5,0),21)='Auto Responses'!$A$73,'Auto Responses'!$A$74,VLOOKUP($A175,Infrastructure!$A$13:$E$74,4,0))&amp;""</f>
        <v>TalEval and Discovery Pro enforce separation of duties through role-based access control. The software provides three distinct user roles: Administrator (system configuration, account/security management), Instructor (grading and evaluation functions), and Student (coursework and academic records only). Students cannot access instructor or administrator functions, and instructors cannot access administrator-level security settings.</v>
      </c>
      <c r="E175" s="350" t="str">
        <f>VLOOKUP($A175,Infrastructure!$A$13:$E$74,5,0)&amp;""</f>
        <v>Describe or provide a reference to the facilities available in the system to provide separation of duties between security administration and system administration functions.</v>
      </c>
      <c r="F175" s="202"/>
      <c r="G175" s="37" t="str">
        <f>VLOOKUP($A175,Questions!$A$2:$X$333,21,0)&amp;""</f>
        <v>Yes</v>
      </c>
      <c r="H175" s="192"/>
      <c r="I175" s="52" t="str">
        <f>VLOOKUP($A175,Questions!$A$2:$X$333,23,0)&amp;""</f>
        <v>Critical Importance</v>
      </c>
      <c r="J175" s="192"/>
      <c r="K175" s="55" t="b">
        <v>0</v>
      </c>
      <c r="L175" s="1"/>
    </row>
    <row r="176" spans="1:12" s="36" customFormat="1" ht="85">
      <c r="A176" s="25" t="str">
        <f>Infrastructure!$A$25</f>
        <v>APPL-06</v>
      </c>
      <c r="B176" s="26" t="str">
        <f>VLOOKUP($A176,Infrastructure!$A$13:$E$74,2,0)&amp;""</f>
        <v>Do you subject your code to static code analysis and/or static application security testing prior to release?*</v>
      </c>
      <c r="C176" s="52" t="str">
        <f>VLOOKUP($A176,Infrastructure!$A$13:$E$74,3,0)&amp;""</f>
        <v>yes</v>
      </c>
      <c r="D176" s="41" t="str">
        <f>IF(LEFT(VLOOKUP($A176,Infrastructure!$A$13:$E$74,5,0),21)='Auto Responses'!$A$73,'Auto Responses'!$A$74,VLOOKUP($A176,Infrastructure!$A$13:$E$74,4,0))&amp;""</f>
        <v>Programmer  is a contractor and fully trained in secure coding techniques</v>
      </c>
      <c r="E176" s="350" t="str">
        <f>VLOOKUP($A176,Infrastructure!$A$13:$E$74,5,0)&amp;""</f>
        <v>Provide a list of all tools utilized during static code analysis or static application security testing.</v>
      </c>
      <c r="F176" s="202"/>
      <c r="G176" s="37" t="str">
        <f>VLOOKUP($A176,Questions!$A$2:$X$333,21,0)&amp;""</f>
        <v>Yes</v>
      </c>
      <c r="H176" s="192"/>
      <c r="I176" s="52" t="str">
        <f>VLOOKUP($A176,Questions!$A$2:$X$333,23,0)&amp;""</f>
        <v>Critical Importance</v>
      </c>
      <c r="J176" s="192"/>
      <c r="K176" s="55" t="b">
        <v>0</v>
      </c>
      <c r="L176" s="1"/>
    </row>
    <row r="177" spans="1:12" s="36" customFormat="1" ht="187">
      <c r="A177" s="25" t="str">
        <f>Infrastructure!$A$26</f>
        <v>APPL-07</v>
      </c>
      <c r="B177" s="26" t="str">
        <f>VLOOKUP($A177,Infrastructure!$A$13:$E$74,2,0)&amp;""</f>
        <v>Do you have software testing processes (dynamic or static) that are established and followed?*</v>
      </c>
      <c r="C177" s="52" t="str">
        <f>VLOOKUP($A177,Infrastructure!$A$13:$E$74,3,0)&amp;""</f>
        <v>yes</v>
      </c>
      <c r="D177" s="41" t="str">
        <f>IF(LEFT(VLOOKUP($A177,Infrastructure!$A$13:$E$74,5,0),21)='Auto Responses'!$A$73,'Auto Responses'!$A$74,VLOOKUP($A177,Infrastructure!$A$13:$E$74,4,0))&amp;""</f>
        <v>Programmer  is a contractor and fullly gtrained in secure coding techniques</v>
      </c>
      <c r="E177" s="350" t="str">
        <f>VLOOKUP($A177,Infrastructure!$A$13:$E$74,5,0)&amp;""</f>
        <v>Describe testing processes, including but not limited to, development of test plans, personnel involved in the testing process, and authorized individual accountable for approval and certification of test results.</v>
      </c>
      <c r="F177" s="202"/>
      <c r="G177" s="37" t="str">
        <f>VLOOKUP($A177,Questions!$A$2:$X$333,21,0)&amp;""</f>
        <v>Yes</v>
      </c>
      <c r="H177" s="192"/>
      <c r="I177" s="52" t="str">
        <f>VLOOKUP($A177,Questions!$A$2:$X$333,23,0)&amp;""</f>
        <v>Critical Importance</v>
      </c>
      <c r="J177" s="192"/>
      <c r="K177" s="55" t="b">
        <v>0</v>
      </c>
      <c r="L177" s="1"/>
    </row>
    <row r="178" spans="1:12" s="36" customFormat="1" ht="30">
      <c r="A178" s="25" t="str">
        <f>Infrastructure!$A$27</f>
        <v>APPL-08</v>
      </c>
      <c r="B178" s="26" t="str">
        <f>VLOOKUP($A178,Infrastructure!$A$13:$E$74,2,0)&amp;""</f>
        <v>Are access controls for staff within your organization based on structured rules, such as RBAC, ABAC, or PBAC?</v>
      </c>
      <c r="C178" s="52" t="str">
        <f>VLOOKUP($A178,Infrastructure!$A$13:$E$74,3,0)&amp;""</f>
        <v>yes</v>
      </c>
      <c r="D178" s="41" t="str">
        <f>IF(LEFT(VLOOKUP($A178,Infrastructure!$A$13:$E$74,5,0),21)='Auto Responses'!$A$73,'Auto Responses'!$A$74,VLOOKUP($A178,Infrastructure!$A$13:$E$74,4,0))&amp;""</f>
        <v/>
      </c>
      <c r="E178" s="350" t="str">
        <f>VLOOKUP($A178,Infrastructure!$A$13:$E$74,5,0)&amp;""</f>
        <v/>
      </c>
      <c r="F178" s="202"/>
      <c r="G178" s="37" t="str">
        <f>VLOOKUP($A178,Questions!$A$2:$X$333,21,0)&amp;""</f>
        <v>Yes</v>
      </c>
      <c r="H178" s="192"/>
      <c r="I178" s="52" t="str">
        <f>VLOOKUP($A178,Questions!$A$2:$X$333,23,0)&amp;""</f>
        <v>Standard Importance</v>
      </c>
      <c r="J178" s="192"/>
      <c r="K178" s="55" t="b">
        <v>0</v>
      </c>
      <c r="L178" s="1"/>
    </row>
    <row r="179" spans="1:12" s="36" customFormat="1" ht="119">
      <c r="A179" s="25" t="str">
        <f>Infrastructure!$A$28</f>
        <v>APPL-09</v>
      </c>
      <c r="B179" s="26" t="str">
        <f>VLOOKUP($A179,Infrastructure!$A$13:$E$74,2,0)&amp;""</f>
        <v>Does the system provide data input validation and error messages?</v>
      </c>
      <c r="C179" s="52" t="str">
        <f>VLOOKUP($A179,Infrastructure!$A$13:$E$74,3,0)&amp;""</f>
        <v>yes</v>
      </c>
      <c r="D179" s="41" t="str">
        <f>IF(LEFT(VLOOKUP($A179,Infrastructure!$A$13:$E$74,5,0),21)='Auto Responses'!$A$73,'Auto Responses'!$A$74,VLOOKUP($A179,Infrastructure!$A$13:$E$74,4,0))&amp;""</f>
        <v>Software  verifyies data entry and does not allowing the user to save the form until errors are resolved. Error messages used follow best practice.</v>
      </c>
      <c r="E179" s="350" t="str">
        <f>VLOOKUP($A179,Infrastructure!$A$13:$E$74,5,0)&amp;""</f>
        <v>Describe how your system(s) provide data input validation and error messages.</v>
      </c>
      <c r="F179" s="202"/>
      <c r="G179" s="37" t="str">
        <f>VLOOKUP($A179,Questions!$A$2:$X$333,21,0)&amp;""</f>
        <v>Yes</v>
      </c>
      <c r="H179" s="192"/>
      <c r="I179" s="52" t="str">
        <f>VLOOKUP($A179,Questions!$A$2:$X$333,23,0)&amp;""</f>
        <v>Standard Importance</v>
      </c>
      <c r="J179" s="192"/>
      <c r="K179" s="55" t="b">
        <v>0</v>
      </c>
      <c r="L179" s="1"/>
    </row>
    <row r="180" spans="1:12" s="36" customFormat="1" ht="272">
      <c r="A180" s="25" t="str">
        <f>Infrastructure!$A$29</f>
        <v>APPL-10</v>
      </c>
      <c r="B180" s="26" t="str">
        <f>VLOOKUP($A180,Infrastructure!$A$13:$E$74,2,0)&amp;""</f>
        <v>Do you have a process and implemented procedures for managing your software supply chain (e.g., libraries, repositories, frameworks, etc.)</v>
      </c>
      <c r="C180" s="52" t="str">
        <f>VLOOKUP($A180,Infrastructure!$A$13:$E$74,3,0)&amp;""</f>
        <v>yes</v>
      </c>
      <c r="D180" s="41" t="str">
        <f>IF(LEFT(VLOOKUP($A180,Infrastructure!$A$13:$E$74,5,0),21)='Auto Responses'!$A$73,'Auto Responses'!$A$74,VLOOKUP($A180,Infrastructure!$A$13:$E$74,4,0))&amp;""</f>
        <v>ASC relies on a small set of trusted vendors to operate its business, including Liquid Web LLC (SOC-audited hosting provider), Microsoft (Windows Server, Office 365), and ThreatDown (application vulnerability scanning). Vendor security practices are reviewed, and all institutional data remains hosted within Liquid Web’s secure environment.</v>
      </c>
      <c r="E180" s="350" t="str">
        <f>VLOOKUP($A180,Infrastructure!$A$13:$E$74,5,0)&amp;""</f>
        <v>Provide supporting documentation of your processes.</v>
      </c>
      <c r="F180" s="202"/>
      <c r="G180" s="37" t="str">
        <f>VLOOKUP($A180,Questions!$A$2:$X$333,21,0)&amp;""</f>
        <v>Yes</v>
      </c>
      <c r="H180" s="192"/>
      <c r="I180" s="52" t="str">
        <f>VLOOKUP($A180,Questions!$A$2:$X$333,23,0)&amp;""</f>
        <v>Standard Importance</v>
      </c>
      <c r="J180" s="192"/>
      <c r="K180" s="55" t="b">
        <v>0</v>
      </c>
      <c r="L180" s="1"/>
    </row>
    <row r="181" spans="1:12" s="36" customFormat="1" ht="170">
      <c r="A181" s="25" t="str">
        <f>Infrastructure!$A$30</f>
        <v>APPL-11</v>
      </c>
      <c r="B181" s="26" t="str">
        <f>VLOOKUP($A181,Infrastructure!$A$13:$E$74,2,0)&amp;""</f>
        <v>Have your developers been trained in secure coding techniques?</v>
      </c>
      <c r="C181" s="52" t="str">
        <f>VLOOKUP($A181,Infrastructure!$A$13:$E$74,3,0)&amp;""</f>
        <v>yes</v>
      </c>
      <c r="D181" s="41" t="str">
        <f>IF(LEFT(VLOOKUP($A181,Infrastructure!$A$13:$E$74,5,0),21)='Auto Responses'!$A$73,'Auto Responses'!$A$74,VLOOKUP($A181,Infrastructure!$A$13:$E$74,4,0))&amp;""</f>
        <v>ASC requires all development to follow secure coding practices (e.g., input validation, prevention of SQL injection, use of encryption). While development work is performed by a contracted developer.</v>
      </c>
      <c r="E181" s="350" t="str">
        <f>VLOOKUP($A181,Infrastructure!$A$13:$E$74,5,0)&amp;""</f>
        <v>Summarize your secure coding training.</v>
      </c>
      <c r="F181" s="202"/>
      <c r="G181" s="37" t="str">
        <f>VLOOKUP($A181,Questions!$A$2:$X$333,21,0)&amp;""</f>
        <v>Yes</v>
      </c>
      <c r="H181" s="192"/>
      <c r="I181" s="52" t="str">
        <f>VLOOKUP($A181,Questions!$A$2:$X$333,23,0)&amp;""</f>
        <v>Standard Importance</v>
      </c>
      <c r="J181" s="192"/>
      <c r="K181" s="55" t="b">
        <v>0</v>
      </c>
      <c r="L181" s="1"/>
    </row>
    <row r="182" spans="1:12" s="36" customFormat="1" ht="136">
      <c r="A182" s="25" t="str">
        <f>Infrastructure!$A$31</f>
        <v>APPL-12</v>
      </c>
      <c r="B182" s="26" t="str">
        <f>VLOOKUP($A182,Infrastructure!$A$13:$E$74,2,0)&amp;""</f>
        <v>Was your application developed using secure coding techniques?</v>
      </c>
      <c r="C182" s="52" t="str">
        <f>VLOOKUP($A182,Infrastructure!$A$13:$E$74,3,0)&amp;""</f>
        <v>yes</v>
      </c>
      <c r="D182" s="41" t="str">
        <f>IF(LEFT(VLOOKUP($A182,Infrastructure!$A$13:$E$74,5,0),21)='Auto Responses'!$A$73,'Auto Responses'!$A$74,VLOOKUP($A182,Infrastructure!$A$13:$E$74,4,0))&amp;""</f>
        <v>We implement methods to verify user identity and restrict access to resources based on assigned roles and privileges. Passwords, authentication, encryption.</v>
      </c>
      <c r="E182" s="350" t="str">
        <f>VLOOKUP($A182,Infrastructure!$A$13:$E$74,5,0)&amp;""</f>
        <v>Summarize your secure coding practices.</v>
      </c>
      <c r="F182" s="202"/>
      <c r="G182" s="37" t="str">
        <f>VLOOKUP($A182,Questions!$A$2:$X$333,21,0)&amp;""</f>
        <v>Yes</v>
      </c>
      <c r="H182" s="192"/>
      <c r="I182" s="52" t="str">
        <f>VLOOKUP($A182,Questions!$A$2:$X$333,23,0)&amp;""</f>
        <v>Standard Importance</v>
      </c>
      <c r="J182" s="192"/>
      <c r="K182" s="55" t="b">
        <v>0</v>
      </c>
      <c r="L182" s="1"/>
    </row>
    <row r="183" spans="1:12" s="36" customFormat="1" ht="102">
      <c r="A183" s="25" t="str">
        <f>Infrastructure!$A$32</f>
        <v>APPL-13</v>
      </c>
      <c r="B183" s="26" t="str">
        <f>VLOOKUP($A183,Infrastructure!$A$13:$E$74,2,0)&amp;""</f>
        <v>If mobile, is the application available from a trusted source (e.g., App Store, Google Play Store)?</v>
      </c>
      <c r="C183" s="52" t="str">
        <f>VLOOKUP($A183,Infrastructure!$A$13:$E$74,3,0)&amp;""</f>
        <v>N/A</v>
      </c>
      <c r="D183" s="41" t="str">
        <f>IF(LEFT(VLOOKUP($A183,Infrastructure!$A$13:$E$74,5,0),21)='Auto Responses'!$A$73,'Auto Responses'!$A$74,VLOOKUP($A183,Infrastructure!$A$13:$E$74,4,0))&amp;""</f>
        <v>because the software is only available from a sole source ASC.  We have not designed a separate app to run on a mobile device.</v>
      </c>
      <c r="E183" s="350" t="str">
        <f>VLOOKUP($A183,Infrastructure!$A$13:$E$74,5,0)&amp;""</f>
        <v>Please explain why this does not apply to your product or service.</v>
      </c>
      <c r="F183" s="202"/>
      <c r="G183" s="37" t="str">
        <f>VLOOKUP($A183,Questions!$A$2:$X$333,21,0)&amp;""</f>
        <v>Yes</v>
      </c>
      <c r="H183" s="192"/>
      <c r="I183" s="52" t="str">
        <f>VLOOKUP($A183,Questions!$A$2:$X$333,23,0)&amp;""</f>
        <v>Minor Importance</v>
      </c>
      <c r="J183" s="192"/>
      <c r="K183" s="55" t="b">
        <v>0</v>
      </c>
      <c r="L183" s="1"/>
    </row>
    <row r="184" spans="1:12" s="36" customFormat="1" ht="136">
      <c r="A184" s="25" t="str">
        <f>Infrastructure!$A$33</f>
        <v>APPL-14</v>
      </c>
      <c r="B184" s="26" t="str">
        <f>VLOOKUP($A184,Infrastructure!$A$13:$E$74,2,0)&amp;""</f>
        <v>Do you have a fully implemented policy or procedure that details how your employees obtain administrator access to institutional instance of the application?</v>
      </c>
      <c r="C184" s="52" t="str">
        <f>VLOOKUP($A184,Infrastructure!$A$13:$E$74,3,0)&amp;""</f>
        <v>yes</v>
      </c>
      <c r="D184" s="41" t="str">
        <f>IF(LEFT(VLOOKUP($A184,Infrastructure!$A$13:$E$74,5,0),21)='Auto Responses'!$A$73,'Auto Responses'!$A$74,VLOOKUP($A184,Infrastructure!$A$13:$E$74,4,0))&amp;""</f>
        <v>As a small business, ASC centralizes system-level administrator access to the company president. No other employees have access, Administrator rights are tightly controlled.</v>
      </c>
      <c r="E184" s="350" t="str">
        <f>VLOOKUP($A184,Infrastructure!$A$13:$E$74,5,0)&amp;""</f>
        <v>Describe or provide a reference that details how administrator access is handled (e.g., provisioning, principle of least privilege, deprovisioning, etc.).</v>
      </c>
      <c r="F184" s="202"/>
      <c r="G184" s="37" t="str">
        <f>VLOOKUP($A184,Questions!$A$2:$X$333,21,0)&amp;""</f>
        <v>Yes</v>
      </c>
      <c r="H184" s="192"/>
      <c r="I184" s="52" t="str">
        <f>VLOOKUP($A184,Questions!$A$2:$X$333,23,0)&amp;""</f>
        <v>Minor Importance</v>
      </c>
      <c r="J184" s="192"/>
      <c r="K184" s="55" t="b">
        <v>0</v>
      </c>
      <c r="L184" s="1"/>
    </row>
    <row r="185" spans="1:12" s="1" customFormat="1" ht="18">
      <c r="A185" s="70" t="str">
        <f>VLOOKUP(LEFT($A186,4),'Auto Responses'!$N$4:$O$38,2,0)&amp;""</f>
        <v xml:space="preserve"> Datacenter</v>
      </c>
      <c r="B185" s="29"/>
      <c r="C185" s="38"/>
      <c r="D185" s="38"/>
      <c r="E185" s="351"/>
      <c r="F185" s="139" t="s">
        <v>1089</v>
      </c>
      <c r="G185" s="358" t="s">
        <v>925</v>
      </c>
      <c r="H185" s="358" t="s">
        <v>927</v>
      </c>
      <c r="I185" s="358" t="s">
        <v>19</v>
      </c>
      <c r="J185" s="358" t="s">
        <v>912</v>
      </c>
      <c r="K185" s="38"/>
    </row>
    <row r="186" spans="1:12" s="36" customFormat="1" ht="17">
      <c r="A186" s="25" t="str">
        <f>Infrastructure!$A$35</f>
        <v>DCTR-01</v>
      </c>
      <c r="B186" s="26" t="str">
        <f>VLOOKUP($A186,Infrastructure!$A$13:$E$74,2,0)&amp;""</f>
        <v>Select your hosting option.</v>
      </c>
      <c r="C186" s="52" t="str">
        <f>VLOOKUP($A186,Infrastructure!$A$13:$E$74,3,0)&amp;""</f>
        <v>Hybrid/Other</v>
      </c>
      <c r="D186" s="41" t="str">
        <f>IF(LEFT(VLOOKUP($A186,Infrastructure!$A$13:$E$74,5,0),21)='Auto Responses'!$A$73,'Auto Responses'!$A$74,VLOOKUP($A186,Infrastructure!$A$13:$E$74,4,0))&amp;""</f>
        <v/>
      </c>
      <c r="E186" s="350" t="str">
        <f>VLOOKUP($A186,Infrastructure!$A$13:$E$74,5,0)&amp;""</f>
        <v/>
      </c>
      <c r="F186" s="202"/>
      <c r="G186" s="37" t="str">
        <f>VLOOKUP($A186,Questions!$A$2:$X$333,21,0)&amp;""</f>
        <v>Not scored</v>
      </c>
      <c r="H186" s="192"/>
      <c r="I186" s="52" t="str">
        <f>VLOOKUP($A186,Questions!$A$2:$X$333,23,0)&amp;""</f>
        <v/>
      </c>
      <c r="J186" s="192"/>
      <c r="K186" s="55" t="b">
        <v>0</v>
      </c>
      <c r="L186" s="1"/>
    </row>
    <row r="187" spans="1:12" s="36" customFormat="1" ht="51">
      <c r="A187" s="25" t="str">
        <f>Infrastructure!$A$36</f>
        <v>DCTR-02</v>
      </c>
      <c r="B187" s="26" t="str">
        <f>VLOOKUP($A187,Infrastructure!$A$13:$E$74,2,0)&amp;""</f>
        <v>Is a SOC 2 Type 2 report available for the hosting environment?</v>
      </c>
      <c r="C187" s="52" t="str">
        <f>VLOOKUP($A187,Infrastructure!$A$13:$E$74,3,0)&amp;""</f>
        <v>yes</v>
      </c>
      <c r="D187" s="41" t="str">
        <f>IF(LEFT(VLOOKUP($A187,Infrastructure!$A$13:$E$74,5,0),21)='Auto Responses'!$A$73,'Auto Responses'!$A$74,VLOOKUP($A187,Infrastructure!$A$13:$E$74,4,0))&amp;""</f>
        <v>It is available upon request and I have requested it.</v>
      </c>
      <c r="E187" s="350" t="str">
        <f>VLOOKUP($A187,Infrastructure!$A$13:$E$74,5,0)&amp;""</f>
        <v>Obtain the report if possible and add it to your submission.</v>
      </c>
      <c r="F187" s="202"/>
      <c r="G187" s="37" t="str">
        <f>VLOOKUP($A187,Questions!$A$2:$X$333,21,0)&amp;""</f>
        <v>Yes</v>
      </c>
      <c r="H187" s="192"/>
      <c r="I187" s="52" t="str">
        <f>VLOOKUP($A187,Questions!$A$2:$X$333,23,0)&amp;""</f>
        <v>Standard Importance</v>
      </c>
      <c r="J187" s="192"/>
      <c r="K187" s="55" t="b">
        <v>0</v>
      </c>
      <c r="L187" s="1"/>
    </row>
    <row r="188" spans="1:12" s="36" customFormat="1" ht="30">
      <c r="A188" s="25" t="str">
        <f>Infrastructure!$A$37</f>
        <v>DCTR-03</v>
      </c>
      <c r="B188" s="26" t="str">
        <f>VLOOKUP($A188,Infrastructure!$A$13:$E$74,2,0)&amp;""</f>
        <v>Are you generally able to accommodate storing each institution's data within its geographic region?</v>
      </c>
      <c r="C188" s="52" t="str">
        <f>VLOOKUP($A188,Infrastructure!$A$13:$E$74,3,0)&amp;""</f>
        <v>yes</v>
      </c>
      <c r="D188" s="41" t="str">
        <f>IF(LEFT(VLOOKUP($A188,Infrastructure!$A$13:$E$74,5,0),21)='Auto Responses'!$A$73,'Auto Responses'!$A$74,VLOOKUP($A188,Infrastructure!$A$13:$E$74,4,0))&amp;""</f>
        <v/>
      </c>
      <c r="E188" s="350" t="str">
        <f>VLOOKUP($A188,Infrastructure!$A$13:$E$74,5,0)&amp;""</f>
        <v/>
      </c>
      <c r="F188" s="202"/>
      <c r="G188" s="37" t="str">
        <f>VLOOKUP($A188,Questions!$A$2:$X$333,21,0)&amp;""</f>
        <v>Yes</v>
      </c>
      <c r="H188" s="192"/>
      <c r="I188" s="52" t="str">
        <f>VLOOKUP($A188,Questions!$A$2:$X$333,23,0)&amp;""</f>
        <v>Standard Importance</v>
      </c>
      <c r="J188" s="192"/>
      <c r="K188" s="55" t="b">
        <v>0</v>
      </c>
      <c r="L188" s="1"/>
    </row>
    <row r="189" spans="1:12" s="36" customFormat="1" ht="51">
      <c r="A189" s="25" t="str">
        <f>Infrastructure!$A$38</f>
        <v>DCTR-04</v>
      </c>
      <c r="B189" s="26" t="str">
        <f>VLOOKUP($A189,Infrastructure!$A$13:$E$74,2,0)&amp;""</f>
        <v>Are the data centers staffed 24 hours a day, seven days a week (i.e., 24 x 7 x 365)?</v>
      </c>
      <c r="C189" s="52" t="str">
        <f>VLOOKUP($A189,Infrastructure!$A$13:$E$74,3,0)&amp;""</f>
        <v>yes</v>
      </c>
      <c r="D189" s="41" t="str">
        <f>IF(LEFT(VLOOKUP($A189,Infrastructure!$A$13:$E$74,5,0),21)='Auto Responses'!$A$73,'Auto Responses'!$A$74,VLOOKUP($A189,Infrastructure!$A$13:$E$74,4,0))&amp;""</f>
        <v xml:space="preserve">Handled by hosting provider (Liquid Web LLC, </v>
      </c>
      <c r="E189" s="350" t="str">
        <f>VLOOKUP($A189,Infrastructure!$A$13:$E$74,5,0)&amp;""</f>
        <v>Describe the on-site staff capabilities.</v>
      </c>
      <c r="F189" s="202"/>
      <c r="G189" s="37" t="str">
        <f>VLOOKUP($A189,Questions!$A$2:$X$333,21,0)&amp;""</f>
        <v>Yes</v>
      </c>
      <c r="H189" s="192"/>
      <c r="I189" s="52" t="str">
        <f>VLOOKUP($A189,Questions!$A$2:$X$333,23,0)&amp;""</f>
        <v>Standard Importance</v>
      </c>
      <c r="J189" s="192"/>
      <c r="K189" s="55" t="b">
        <v>0</v>
      </c>
      <c r="L189" s="1"/>
    </row>
    <row r="190" spans="1:12" s="36" customFormat="1" ht="51">
      <c r="A190" s="25" t="str">
        <f>Infrastructure!$A$39</f>
        <v>DCTR-05</v>
      </c>
      <c r="B190" s="26" t="str">
        <f>VLOOKUP($A190,Infrastructure!$A$13:$E$74,2,0)&amp;""</f>
        <v>Are your servers separated from other companies via a physical barrier, such as a cage or hard walls?</v>
      </c>
      <c r="C190" s="52" t="str">
        <f>VLOOKUP($A190,Infrastructure!$A$13:$E$74,3,0)&amp;""</f>
        <v>yes</v>
      </c>
      <c r="D190" s="41" t="str">
        <f>IF(LEFT(VLOOKUP($A190,Infrastructure!$A$13:$E$74,5,0),21)='Auto Responses'!$A$73,'Auto Responses'!$A$74,VLOOKUP($A190,Infrastructure!$A$13:$E$74,4,0))&amp;""</f>
        <v xml:space="preserve">Handled by hosting provider (Liquid Web LLC, </v>
      </c>
      <c r="E190" s="350" t="str">
        <f>VLOOKUP($A190,Infrastructure!$A$13:$E$74,5,0)&amp;""</f>
        <v>Describe your physical barrier strategy.</v>
      </c>
      <c r="F190" s="202"/>
      <c r="G190" s="37" t="str">
        <f>VLOOKUP($A190,Questions!$A$2:$X$333,21,0)&amp;""</f>
        <v>Yes</v>
      </c>
      <c r="H190" s="192"/>
      <c r="I190" s="52" t="str">
        <f>VLOOKUP($A190,Questions!$A$2:$X$333,23,0)&amp;""</f>
        <v>Standard Importance</v>
      </c>
      <c r="J190" s="192"/>
      <c r="K190" s="55" t="b">
        <v>0</v>
      </c>
      <c r="L190" s="1"/>
    </row>
    <row r="191" spans="1:12" s="36" customFormat="1" ht="30">
      <c r="A191" s="25" t="str">
        <f>Infrastructure!$A$40</f>
        <v>DCTR-06</v>
      </c>
      <c r="B191" s="26" t="str">
        <f>VLOOKUP($A191,Infrastructure!$A$13:$E$74,2,0)&amp;""</f>
        <v>Does a physical barrier fully enclose the physical space, preventing unauthorized physical contact with any of your devices?*</v>
      </c>
      <c r="C191" s="52" t="str">
        <f>VLOOKUP($A191,Infrastructure!$A$13:$E$74,3,0)&amp;""</f>
        <v>yes</v>
      </c>
      <c r="D191" s="41" t="str">
        <f>IF(LEFT(VLOOKUP($A191,Infrastructure!$A$13:$E$74,5,0),21)='Auto Responses'!$A$73,'Auto Responses'!$A$74,VLOOKUP($A191,Infrastructure!$A$13:$E$74,4,0))&amp;""</f>
        <v/>
      </c>
      <c r="E191" s="350" t="str">
        <f>VLOOKUP($A191,Infrastructure!$A$13:$E$74,5,0)&amp;""</f>
        <v/>
      </c>
      <c r="F191" s="202"/>
      <c r="G191" s="37" t="str">
        <f>VLOOKUP($A191,Questions!$A$2:$X$333,21,0)&amp;""</f>
        <v>Yes</v>
      </c>
      <c r="H191" s="192"/>
      <c r="I191" s="52" t="str">
        <f>VLOOKUP($A191,Questions!$A$2:$X$333,23,0)&amp;""</f>
        <v>Critical Importance</v>
      </c>
      <c r="J191" s="192"/>
      <c r="K191" s="55" t="b">
        <v>0</v>
      </c>
      <c r="L191" s="1"/>
    </row>
    <row r="192" spans="1:12" s="36" customFormat="1" ht="102">
      <c r="A192" s="25" t="str">
        <f>Infrastructure!$A$41</f>
        <v>DCTR-07</v>
      </c>
      <c r="B192" s="26" t="str">
        <f>VLOOKUP($A192,Infrastructure!$A$13:$E$74,2,0)&amp;""</f>
        <v>Are your primary and secondary data centers geographically diverse?</v>
      </c>
      <c r="C192" s="52" t="str">
        <f>VLOOKUP($A192,Infrastructure!$A$13:$E$74,3,0)&amp;""</f>
        <v>yes</v>
      </c>
      <c r="D192" s="41" t="str">
        <f>IF(LEFT(VLOOKUP($A192,Infrastructure!$A$13:$E$74,5,0),21)='Auto Responses'!$A$73,'Auto Responses'!$A$74,VLOOKUP($A192,Infrastructure!$A$13:$E$74,4,0))&amp;""</f>
        <v xml:space="preserve">Handled by hosting provider (Liquid Web LLC, </v>
      </c>
      <c r="E192" s="350" t="str">
        <f>VLOOKUP($A192,Infrastructure!$A$13:$E$74,5,0)&amp;""</f>
        <v>State your primary and secondary data center locations. For cloud infrastructures, state the primary and secondary zones.</v>
      </c>
      <c r="F192" s="202"/>
      <c r="G192" s="37" t="str">
        <f>VLOOKUP($A192,Questions!$A$2:$X$333,21,0)&amp;""</f>
        <v>Yes</v>
      </c>
      <c r="H192" s="192"/>
      <c r="I192" s="52" t="str">
        <f>VLOOKUP($A192,Questions!$A$2:$X$333,23,0)&amp;""</f>
        <v>Standard Importance</v>
      </c>
      <c r="J192" s="192"/>
      <c r="K192" s="55" t="b">
        <v>0</v>
      </c>
      <c r="L192" s="1"/>
    </row>
    <row r="193" spans="1:12" s="36" customFormat="1" ht="51">
      <c r="A193" s="25" t="str">
        <f>Infrastructure!$A$42</f>
        <v>DCTR-08</v>
      </c>
      <c r="B193" s="26" t="str">
        <f>VLOOKUP($A193,Infrastructure!$A$13:$E$74,2,0)&amp;""</f>
        <v>Is the service hosted in a high-availability environment?</v>
      </c>
      <c r="C193" s="52" t="str">
        <f>VLOOKUP($A193,Infrastructure!$A$13:$E$74,3,0)&amp;""</f>
        <v>yes</v>
      </c>
      <c r="D193" s="41" t="str">
        <f>IF(LEFT(VLOOKUP($A193,Infrastructure!$A$13:$E$74,5,0),21)='Auto Responses'!$A$73,'Auto Responses'!$A$74,VLOOKUP($A193,Infrastructure!$A$13:$E$74,4,0))&amp;""</f>
        <v xml:space="preserve">Handled by hosting provider (Liquid Web LLC, </v>
      </c>
      <c r="E193" s="350" t="str">
        <f>VLOOKUP($A193,Infrastructure!$A$13:$E$74,5,0)&amp;""</f>
        <v>Provide a summary to support your response selection.</v>
      </c>
      <c r="F193" s="202"/>
      <c r="G193" s="37" t="str">
        <f>VLOOKUP($A193,Questions!$A$2:$X$333,21,0)&amp;""</f>
        <v>Yes</v>
      </c>
      <c r="H193" s="192"/>
      <c r="I193" s="52" t="str">
        <f>VLOOKUP($A193,Questions!$A$2:$X$333,23,0)&amp;""</f>
        <v>Standard Importance</v>
      </c>
      <c r="J193" s="192"/>
      <c r="K193" s="55" t="b">
        <v>0</v>
      </c>
      <c r="L193" s="1"/>
    </row>
    <row r="194" spans="1:12" s="36" customFormat="1" ht="85">
      <c r="A194" s="25" t="str">
        <f>Infrastructure!$A$43</f>
        <v>DCTR-09</v>
      </c>
      <c r="B194" s="26" t="str">
        <f>VLOOKUP($A194,Infrastructure!$A$13:$E$74,2,0)&amp;""</f>
        <v>Is redundant power available for all data centers where institutional data will reside?</v>
      </c>
      <c r="C194" s="52" t="str">
        <f>VLOOKUP($A194,Infrastructure!$A$13:$E$74,3,0)&amp;""</f>
        <v>yes</v>
      </c>
      <c r="D194" s="41" t="str">
        <f>IF(LEFT(VLOOKUP($A194,Infrastructure!$A$13:$E$74,5,0),21)='Auto Responses'!$A$73,'Auto Responses'!$A$74,VLOOKUP($A194,Infrastructure!$A$13:$E$74,4,0))&amp;""</f>
        <v xml:space="preserve">Handled by hosting provider (Liquid Web LLC, </v>
      </c>
      <c r="E194" s="350" t="str">
        <f>VLOOKUP($A194,Infrastructure!$A$13:$E$74,5,0)&amp;""</f>
        <v>Provide a detailed description of the implemented strategy (i.e.,batteries, generator).</v>
      </c>
      <c r="F194" s="202"/>
      <c r="G194" s="37" t="str">
        <f>VLOOKUP($A194,Questions!$A$2:$X$333,21,0)&amp;""</f>
        <v>Yes</v>
      </c>
      <c r="H194" s="192"/>
      <c r="I194" s="52" t="str">
        <f>VLOOKUP($A194,Questions!$A$2:$X$333,23,0)&amp;""</f>
        <v>Standard Importance</v>
      </c>
      <c r="J194" s="192"/>
      <c r="K194" s="55" t="b">
        <v>0</v>
      </c>
      <c r="L194" s="1"/>
    </row>
    <row r="195" spans="1:12" s="36" customFormat="1" ht="85">
      <c r="A195" s="25" t="str">
        <f>Infrastructure!$A$44</f>
        <v>DCTR-10</v>
      </c>
      <c r="B195" s="26" t="str">
        <f>VLOOKUP($A195,Infrastructure!$A$13:$E$74,2,0)&amp;""</f>
        <v>Are redundant power strategies tested?*</v>
      </c>
      <c r="C195" s="52" t="str">
        <f>VLOOKUP($A195,Infrastructure!$A$13:$E$74,3,0)&amp;""</f>
        <v>yes</v>
      </c>
      <c r="D195" s="41" t="str">
        <f>IF(LEFT(VLOOKUP($A195,Infrastructure!$A$13:$E$74,5,0),21)='Auto Responses'!$A$73,'Auto Responses'!$A$74,VLOOKUP($A195,Infrastructure!$A$13:$E$74,4,0))&amp;""</f>
        <v xml:space="preserve">Handled by hosting provider (Liquid Web LLC, </v>
      </c>
      <c r="E195" s="350" t="str">
        <f>VLOOKUP($A195,Infrastructure!$A$13:$E$74,5,0)&amp;""</f>
        <v>State how often redundant power strategies are tested and the date of the last successful test.</v>
      </c>
      <c r="F195" s="202"/>
      <c r="G195" s="37" t="str">
        <f>VLOOKUP($A195,Questions!$A$2:$X$333,21,0)&amp;""</f>
        <v>Yes</v>
      </c>
      <c r="H195" s="192"/>
      <c r="I195" s="52" t="str">
        <f>VLOOKUP($A195,Questions!$A$2:$X$333,23,0)&amp;""</f>
        <v>Critical Importance</v>
      </c>
      <c r="J195" s="192"/>
      <c r="K195" s="55" t="b">
        <v>0</v>
      </c>
      <c r="L195" s="1"/>
    </row>
    <row r="196" spans="1:12" s="36" customFormat="1" ht="85">
      <c r="A196" s="25" t="str">
        <f>Infrastructure!$A$45</f>
        <v>DCTR-11</v>
      </c>
      <c r="B196" s="26" t="str">
        <f>VLOOKUP($A196,Infrastructure!$A$13:$E$74,2,0)&amp;""</f>
        <v>Does the center where the data will reside have cooling and fire-suppression systems that are active and regularly tested?</v>
      </c>
      <c r="C196" s="52" t="str">
        <f>VLOOKUP($A196,Infrastructure!$A$13:$E$74,3,0)&amp;""</f>
        <v>yes</v>
      </c>
      <c r="D196" s="41" t="str">
        <f>IF(LEFT(VLOOKUP($A196,Infrastructure!$A$13:$E$74,5,0),21)='Auto Responses'!$A$73,'Auto Responses'!$A$74,VLOOKUP($A196,Infrastructure!$A$13:$E$74,4,0))&amp;""</f>
        <v>Handled by hosting provider (Liquid Web LLC,</v>
      </c>
      <c r="E196" s="350" t="str">
        <f>VLOOKUP($A196,Infrastructure!$A$13:$E$74,5,0)&amp;""</f>
        <v>Based on the response to DCTR-01, this question does not apply to this product or service.</v>
      </c>
      <c r="F196" s="202"/>
      <c r="G196" s="37" t="str">
        <f>VLOOKUP($A196,Questions!$A$2:$X$333,21,0)&amp;""</f>
        <v>Yes</v>
      </c>
      <c r="H196" s="192"/>
      <c r="I196" s="52" t="str">
        <f>VLOOKUP($A196,Questions!$A$2:$X$333,23,0)&amp;""</f>
        <v>Standard Importance</v>
      </c>
      <c r="J196" s="192"/>
      <c r="K196" s="55" t="b">
        <v>0</v>
      </c>
      <c r="L196" s="1"/>
    </row>
    <row r="197" spans="1:12" s="36" customFormat="1" ht="119">
      <c r="A197" s="25" t="str">
        <f>Infrastructure!$A$46</f>
        <v>DCTR-12</v>
      </c>
      <c r="B197" s="26" t="str">
        <f>VLOOKUP($A197,Infrastructure!$A$13:$E$74,2,0)&amp;""</f>
        <v>Do you have Internet Service Provider (ISP) redundancy?</v>
      </c>
      <c r="C197" s="52" t="str">
        <f>VLOOKUP($A197,Infrastructure!$A$13:$E$74,3,0)&amp;""</f>
        <v>yes</v>
      </c>
      <c r="D197" s="41" t="str">
        <f>IF(LEFT(VLOOKUP($A197,Infrastructure!$A$13:$E$74,5,0),21)='Auto Responses'!$A$73,'Auto Responses'!$A$74,VLOOKUP($A197,Infrastructure!$A$13:$E$74,4,0))&amp;""</f>
        <v xml:space="preserve">Handled by hosting provider (Liquid Web LLC, </v>
      </c>
      <c r="E197" s="350" t="str">
        <f>VLOOKUP($A197,Infrastructure!$A$13:$E$74,5,0)&amp;""</f>
        <v>State how many Internet Service Providers (ISPs) provide connectivity to each data center where the institution's data will reside.</v>
      </c>
      <c r="F197" s="202"/>
      <c r="G197" s="37" t="str">
        <f>VLOOKUP($A197,Questions!$A$2:$X$333,21,0)&amp;""</f>
        <v>Yes</v>
      </c>
      <c r="H197" s="192"/>
      <c r="I197" s="52" t="str">
        <f>VLOOKUP($A197,Questions!$A$2:$X$333,23,0)&amp;""</f>
        <v>Standard Importance</v>
      </c>
      <c r="J197" s="192"/>
      <c r="K197" s="55" t="b">
        <v>0</v>
      </c>
      <c r="L197" s="1"/>
    </row>
    <row r="198" spans="1:12" s="36" customFormat="1" ht="51">
      <c r="A198" s="25" t="str">
        <f>Infrastructure!$A$47</f>
        <v>DCTR-13</v>
      </c>
      <c r="B198" s="26" t="str">
        <f>VLOOKUP($A198,Infrastructure!$A$13:$E$74,2,0)&amp;""</f>
        <v>Does every data center where the institution's data will reside have multiple telephone company or network provider entrances to the facility?</v>
      </c>
      <c r="C198" s="52" t="str">
        <f>VLOOKUP($A198,Infrastructure!$A$13:$E$74,3,0)&amp;""</f>
        <v>yes</v>
      </c>
      <c r="D198" s="41" t="str">
        <f>IF(LEFT(VLOOKUP($A198,Infrastructure!$A$13:$E$74,5,0),21)='Auto Responses'!$A$73,'Auto Responses'!$A$74,VLOOKUP($A198,Infrastructure!$A$13:$E$74,4,0))&amp;""</f>
        <v xml:space="preserve">Handled by hosting provider (Liquid Web LLC, </v>
      </c>
      <c r="E198" s="350" t="str">
        <f>VLOOKUP($A198,Infrastructure!$A$13:$E$74,5,0)&amp;""</f>
        <v>Provide a brief description for each datacenter.</v>
      </c>
      <c r="F198" s="202"/>
      <c r="G198" s="37" t="str">
        <f>VLOOKUP($A198,Questions!$A$2:$X$333,21,0)&amp;""</f>
        <v>Yes</v>
      </c>
      <c r="H198" s="192"/>
      <c r="I198" s="52" t="str">
        <f>VLOOKUP($A198,Questions!$A$2:$X$333,23,0)&amp;""</f>
        <v>Standard Importance</v>
      </c>
      <c r="J198" s="192"/>
      <c r="K198" s="55" t="b">
        <v>0</v>
      </c>
      <c r="L198" s="1"/>
    </row>
    <row r="199" spans="1:12" s="36" customFormat="1" ht="204">
      <c r="A199" s="25" t="str">
        <f>Infrastructure!$A$48</f>
        <v>DCTR-14</v>
      </c>
      <c r="B199" s="26" t="str">
        <f>VLOOKUP($A199,Infrastructure!$A$13:$E$74,2,0)&amp;""</f>
        <v>Do you require multifactor authentication for all administrative accounts in your environment?</v>
      </c>
      <c r="C199" s="52" t="str">
        <f>VLOOKUP($A199,Infrastructure!$A$13:$E$74,3,0)&amp;""</f>
        <v>no</v>
      </c>
      <c r="D199" s="41" t="str">
        <f>IF(LEFT(VLOOKUP($A199,Infrastructure!$A$13:$E$74,5,0),21)='Auto Responses'!$A$73,'Auto Responses'!$A$74,VLOOKUP($A199,Infrastructure!$A$13:$E$74,4,0))&amp;""</f>
        <v>MFA is not required for all administrative logins by default. ASC applications provide MFA functionality that can be enabled by institutional administrators. Administrators may configure whether MFA is required on every login, daily, weekly, or monthly.</v>
      </c>
      <c r="E199" s="350" t="str">
        <f>VLOOKUP($A199,Infrastructure!$A$13:$E$74,5,0)&amp;""</f>
        <v>Describe plans to implement MFA.</v>
      </c>
      <c r="F199" s="202"/>
      <c r="G199" s="37" t="str">
        <f>VLOOKUP($A199,Questions!$A$2:$X$333,21,0)&amp;""</f>
        <v>Yes</v>
      </c>
      <c r="H199" s="192"/>
      <c r="I199" s="52" t="str">
        <f>VLOOKUP($A199,Questions!$A$2:$X$333,23,0)&amp;""</f>
        <v>Standard Importance</v>
      </c>
      <c r="J199" s="192"/>
      <c r="K199" s="55" t="b">
        <v>0</v>
      </c>
      <c r="L199" s="1"/>
    </row>
    <row r="200" spans="1:12" s="36" customFormat="1" ht="30">
      <c r="A200" s="25" t="str">
        <f>Infrastructure!$A$49</f>
        <v>DCTR-15</v>
      </c>
      <c r="B200" s="26" t="str">
        <f>VLOOKUP($A200,Infrastructure!$A$13:$E$74,2,0)&amp;""</f>
        <v>Are you using your cloud provider's available hardening tools or pre-hardened images?</v>
      </c>
      <c r="C200" s="52" t="str">
        <f>VLOOKUP($A200,Infrastructure!$A$13:$E$74,3,0)&amp;""</f>
        <v>yes</v>
      </c>
      <c r="D200" s="41" t="str">
        <f>IF(LEFT(VLOOKUP($A200,Infrastructure!$A$13:$E$74,5,0),21)='Auto Responses'!$A$73,'Auto Responses'!$A$74,VLOOKUP($A200,Infrastructure!$A$13:$E$74,4,0))&amp;""</f>
        <v/>
      </c>
      <c r="E200" s="350" t="str">
        <f>VLOOKUP($A200,Infrastructure!$A$13:$E$74,5,0)&amp;""</f>
        <v/>
      </c>
      <c r="F200" s="202"/>
      <c r="G200" s="37" t="str">
        <f>VLOOKUP($A200,Questions!$A$2:$X$333,21,0)&amp;""</f>
        <v>Yes</v>
      </c>
      <c r="H200" s="192"/>
      <c r="I200" s="52" t="str">
        <f>VLOOKUP($A200,Questions!$A$2:$X$333,23,0)&amp;""</f>
        <v>Standard Importance</v>
      </c>
      <c r="J200" s="192"/>
      <c r="K200" s="55" t="b">
        <v>0</v>
      </c>
      <c r="L200" s="1"/>
    </row>
    <row r="201" spans="1:12" s="36" customFormat="1" ht="17">
      <c r="A201" s="25" t="str">
        <f>Infrastructure!$A$50</f>
        <v>DCTR-16</v>
      </c>
      <c r="B201" s="26" t="str">
        <f>VLOOKUP($A201,Infrastructure!$A$13:$E$74,2,0)&amp;""</f>
        <v>Does your cloud solution provider have access to your encryption keys?</v>
      </c>
      <c r="C201" s="52" t="str">
        <f>VLOOKUP($A201,Infrastructure!$A$13:$E$74,3,0)&amp;""</f>
        <v>yes</v>
      </c>
      <c r="D201" s="41" t="str">
        <f>IF(LEFT(VLOOKUP($A201,Infrastructure!$A$13:$E$74,5,0),21)='Auto Responses'!$A$73,'Auto Responses'!$A$74,VLOOKUP($A201,Infrastructure!$A$13:$E$74,4,0))&amp;""</f>
        <v/>
      </c>
      <c r="E201" s="350" t="str">
        <f>VLOOKUP($A201,Infrastructure!$A$13:$E$74,5,0)&amp;""</f>
        <v/>
      </c>
      <c r="F201" s="202"/>
      <c r="G201" s="37" t="str">
        <f>VLOOKUP($A201,Questions!$A$2:$X$333,21,0)&amp;""</f>
        <v>No</v>
      </c>
      <c r="H201" s="192"/>
      <c r="I201" s="52" t="str">
        <f>VLOOKUP($A201,Questions!$A$2:$X$333,23,0)&amp;""</f>
        <v>Standard Importance</v>
      </c>
      <c r="J201" s="192"/>
      <c r="K201" s="55" t="b">
        <v>0</v>
      </c>
      <c r="L201" s="1"/>
    </row>
    <row r="202" spans="1:12" s="1" customFormat="1" ht="18">
      <c r="A202" s="70" t="str">
        <f>VLOOKUP(LEFT($A203,4),'Auto Responses'!$N$4:$O$38,2,0)&amp;""</f>
        <v xml:space="preserve"> Firewalls, IDS, IPS, and Networking</v>
      </c>
      <c r="B202" s="29"/>
      <c r="C202" s="38"/>
      <c r="D202" s="38"/>
      <c r="E202" s="351"/>
      <c r="F202" s="139" t="s">
        <v>1089</v>
      </c>
      <c r="G202" s="358" t="s">
        <v>925</v>
      </c>
      <c r="H202" s="358" t="s">
        <v>927</v>
      </c>
      <c r="I202" s="358" t="s">
        <v>19</v>
      </c>
      <c r="J202" s="358" t="s">
        <v>912</v>
      </c>
      <c r="K202" s="38"/>
    </row>
    <row r="203" spans="1:12" s="36" customFormat="1" ht="204">
      <c r="A203" s="25" t="str">
        <f>Infrastructure!$A$52</f>
        <v>FIDP-01</v>
      </c>
      <c r="B203" s="26" t="str">
        <f>VLOOKUP($A203,Infrastructure!$A$13:$E$74,2,0)&amp;""</f>
        <v>Are you utilizing a stateful packet inspection (SPI) firewall?*</v>
      </c>
      <c r="C203" s="52" t="str">
        <f>VLOOKUP($A203,Infrastructure!$A$13:$E$74,3,0)&amp;""</f>
        <v>yes</v>
      </c>
      <c r="D203" s="41" t="str">
        <f>IF(LEFT(VLOOKUP($A203,Infrastructure!$A$13:$E$74,5,0),21)='Auto Responses'!$A$73,'Auto Responses'!$A$74,VLOOKUP($A203,Infrastructure!$A$13:$E$74,4,0))&amp;""</f>
        <v>Liquid Web LLC (SOC 2 certified) manages stateful packet inspection (SPI) firewalls as part of its managed hosting services. These firewalls monitor and control network traffic based on state, port, and protocol, ensuring only valid and expected traffic is allowed</v>
      </c>
      <c r="E203" s="350" t="str">
        <f>VLOOKUP($A203,Infrastructure!$A$13:$E$74,5,0)&amp;""</f>
        <v>Describe the currently implemented SPI firewall.</v>
      </c>
      <c r="F203" s="202"/>
      <c r="G203" s="37" t="str">
        <f>VLOOKUP($A203,Questions!$A$2:$X$333,21,0)&amp;""</f>
        <v>Yes</v>
      </c>
      <c r="H203" s="192"/>
      <c r="I203" s="52" t="str">
        <f>VLOOKUP($A203,Questions!$A$2:$X$333,23,0)&amp;""</f>
        <v>Critical Importance</v>
      </c>
      <c r="J203" s="192"/>
      <c r="K203" s="55" t="b">
        <v>0</v>
      </c>
      <c r="L203" s="1"/>
    </row>
    <row r="204" spans="1:12" s="36" customFormat="1" ht="68">
      <c r="A204" s="25" t="str">
        <f>Infrastructure!$A$53</f>
        <v>FIDP-02</v>
      </c>
      <c r="B204" s="26" t="str">
        <f>VLOOKUP($A204,Infrastructure!$A$13:$E$74,2,0)&amp;""</f>
        <v>Do you have a documented policy for firewall change requests?*</v>
      </c>
      <c r="C204" s="52" t="str">
        <f>VLOOKUP($A204,Infrastructure!$A$13:$E$74,3,0)&amp;""</f>
        <v>yes</v>
      </c>
      <c r="D204" s="41" t="str">
        <f>IF(LEFT(VLOOKUP($A204,Infrastructure!$A$13:$E$74,5,0),21)='Auto Responses'!$A$73,'Auto Responses'!$A$74,VLOOKUP($A204,Infrastructure!$A$13:$E$74,4,0))&amp;""</f>
        <v>Handled by hosting provider (Liquid Web LLC, SOC 2 report available)”.</v>
      </c>
      <c r="E204" s="350" t="str">
        <f>VLOOKUP($A204,Infrastructure!$A$13:$E$74,5,0)&amp;""</f>
        <v>Describe your documented firewall change request policy.</v>
      </c>
      <c r="F204" s="202"/>
      <c r="G204" s="37" t="str">
        <f>VLOOKUP($A204,Questions!$A$2:$X$333,21,0)&amp;""</f>
        <v>Yes</v>
      </c>
      <c r="H204" s="192"/>
      <c r="I204" s="52" t="str">
        <f>VLOOKUP($A204,Questions!$A$2:$X$333,23,0)&amp;""</f>
        <v>Critical Importance</v>
      </c>
      <c r="J204" s="192"/>
      <c r="K204" s="55" t="b">
        <v>0</v>
      </c>
      <c r="L204" s="1"/>
    </row>
    <row r="205" spans="1:12" s="36" customFormat="1" ht="255">
      <c r="A205" s="25" t="str">
        <f>Infrastructure!$A$54</f>
        <v>FIDP-03</v>
      </c>
      <c r="B205" s="26" t="str">
        <f>VLOOKUP($A205,Infrastructure!$A$13:$E$74,2,0)&amp;""</f>
        <v>Have you implemented an intrusion detection system (network-based)?*</v>
      </c>
      <c r="C205" s="52" t="str">
        <f>VLOOKUP($A205,Infrastructure!$A$13:$E$74,3,0)&amp;""</f>
        <v>yes</v>
      </c>
      <c r="D205" s="41" t="str">
        <f>IF(LEFT(VLOOKUP($A205,Infrastructure!$A$13:$E$74,5,0),21)='Auto Responses'!$A$73,'Auto Responses'!$A$74,VLOOKUP($A205,Infrastructure!$A$13:$E$74,4,0))&amp;""</f>
        <v>relies on hosting provider Liquid Web LLC (SOC 2 certified), which has implemented managed intrusion detection and prevention systems (Threat Detector) to monitor network traffic and identify potential malicious activity. Alerts and monitoring are performed as part of Liquid Web’s managed security services.</v>
      </c>
      <c r="E205" s="350" t="str">
        <f>VLOOKUP($A205,Infrastructure!$A$13:$E$74,5,0)&amp;""</f>
        <v>Describe the currently implemented IDS.</v>
      </c>
      <c r="F205" s="202"/>
      <c r="G205" s="37" t="str">
        <f>VLOOKUP($A205,Questions!$A$2:$X$333,21,0)&amp;""</f>
        <v>Yes</v>
      </c>
      <c r="H205" s="192"/>
      <c r="I205" s="52" t="str">
        <f>VLOOKUP($A205,Questions!$A$2:$X$333,23,0)&amp;""</f>
        <v>Critical Importance</v>
      </c>
      <c r="J205" s="192"/>
      <c r="K205" s="55" t="b">
        <v>0</v>
      </c>
      <c r="L205" s="1"/>
    </row>
    <row r="206" spans="1:12" s="36" customFormat="1" ht="51">
      <c r="A206" s="25" t="str">
        <f>Infrastructure!$A$55</f>
        <v>FIDP-04</v>
      </c>
      <c r="B206" s="26" t="str">
        <f>VLOOKUP($A206,Infrastructure!$A$13:$E$74,2,0)&amp;""</f>
        <v>Do you employ host-based intrusion detection?*</v>
      </c>
      <c r="C206" s="52" t="str">
        <f>VLOOKUP($A206,Infrastructure!$A$13:$E$74,3,0)&amp;""</f>
        <v>yes</v>
      </c>
      <c r="D206" s="41" t="str">
        <f>IF(LEFT(VLOOKUP($A206,Infrastructure!$A$13:$E$74,5,0),21)='Auto Responses'!$A$73,'Auto Responses'!$A$74,VLOOKUP($A206,Infrastructure!$A$13:$E$74,4,0))&amp;""</f>
        <v>Threat Detector</v>
      </c>
      <c r="E206" s="350" t="str">
        <f>VLOOKUP($A206,Infrastructure!$A$13:$E$74,5,0)&amp;""</f>
        <v>Describe the currently implemented host-based IDS solution(s).</v>
      </c>
      <c r="F206" s="202"/>
      <c r="G206" s="37" t="str">
        <f>VLOOKUP($A206,Questions!$A$2:$X$333,21,0)&amp;""</f>
        <v>Yes</v>
      </c>
      <c r="H206" s="192"/>
      <c r="I206" s="52" t="str">
        <f>VLOOKUP($A206,Questions!$A$2:$X$333,23,0)&amp;""</f>
        <v>Critical Importance</v>
      </c>
      <c r="J206" s="192"/>
      <c r="K206" s="55" t="b">
        <v>0</v>
      </c>
      <c r="L206" s="1"/>
    </row>
    <row r="207" spans="1:12" s="36" customFormat="1" ht="68">
      <c r="A207" s="25" t="str">
        <f>Infrastructure!$A$56</f>
        <v>FIDP-05</v>
      </c>
      <c r="B207" s="26" t="str">
        <f>VLOOKUP($A207,Infrastructure!$A$13:$E$74,2,0)&amp;""</f>
        <v>Are audit logs available for all changes to the network, firewall, IDS, and IPS systems?*</v>
      </c>
      <c r="C207" s="52" t="str">
        <f>VLOOKUP($A207,Infrastructure!$A$13:$E$74,3,0)&amp;""</f>
        <v>yes</v>
      </c>
      <c r="D207" s="41" t="str">
        <f>IF(LEFT(VLOOKUP($A207,Infrastructure!$A$13:$E$74,5,0),21)='Auto Responses'!$A$73,'Auto Responses'!$A$74,VLOOKUP($A207,Infrastructure!$A$13:$E$74,4,0))&amp;""</f>
        <v>Handled by hosting provider (Liquid Web LLC, SOC 2 report available)”.</v>
      </c>
      <c r="E207" s="350" t="str">
        <f>VLOOKUP($A207,Infrastructure!$A$13:$E$74,5,0)&amp;""</f>
        <v>Describe your current network systems logging strategy.</v>
      </c>
      <c r="F207" s="202"/>
      <c r="G207" s="37" t="str">
        <f>VLOOKUP($A207,Questions!$A$2:$X$333,21,0)&amp;""</f>
        <v>Yes</v>
      </c>
      <c r="H207" s="192"/>
      <c r="I207" s="52" t="str">
        <f>VLOOKUP($A207,Questions!$A$2:$X$333,23,0)&amp;""</f>
        <v>Critical Importance</v>
      </c>
      <c r="J207" s="192"/>
      <c r="K207" s="55" t="b">
        <v>0</v>
      </c>
      <c r="L207" s="1"/>
    </row>
    <row r="208" spans="1:12" s="36" customFormat="1" ht="221">
      <c r="A208" s="25" t="str">
        <f>Infrastructure!$A$57</f>
        <v>FIDP-06</v>
      </c>
      <c r="B208" s="26" t="str">
        <f>VLOOKUP($A208,Infrastructure!$A$13:$E$74,2,0)&amp;""</f>
        <v>Is authority for firewall change approval documented? Please list approver names or titles in Additional Info.</v>
      </c>
      <c r="C208" s="52" t="str">
        <f>VLOOKUP($A208,Infrastructure!$A$13:$E$74,3,0)&amp;""</f>
        <v>yes</v>
      </c>
      <c r="D208" s="41" t="str">
        <f>IF(LEFT(VLOOKUP($A208,Infrastructure!$A$13:$E$74,5,0),21)='Auto Responses'!$A$73,'Auto Responses'!$A$74,VLOOKUP($A208,Infrastructure!$A$13:$E$74,4,0))&amp;""</f>
        <v>America’s Software Corporation designates Connie Harper, Owner and System Administrator, as the sole authority to request and approve firewall changes. Liquid Web implements changes under documented SOC-audited change management procedures</v>
      </c>
      <c r="E208" s="350" t="str">
        <f>VLOOKUP($A208,Infrastructure!$A$13:$E$74,5,0)&amp;""</f>
        <v>List approver names or titles.</v>
      </c>
      <c r="F208" s="202"/>
      <c r="G208" s="37" t="str">
        <f>VLOOKUP($A208,Questions!$A$2:$X$333,21,0)&amp;""</f>
        <v>Yes</v>
      </c>
      <c r="H208" s="192"/>
      <c r="I208" s="52" t="str">
        <f>VLOOKUP($A208,Questions!$A$2:$X$333,23,0)&amp;""</f>
        <v>Standard Importance</v>
      </c>
      <c r="J208" s="192"/>
      <c r="K208" s="55" t="b">
        <v>0</v>
      </c>
      <c r="L208" s="1"/>
    </row>
    <row r="209" spans="1:12" s="36" customFormat="1" ht="51">
      <c r="A209" s="25" t="str">
        <f>Infrastructure!$A$58</f>
        <v>FIDP-07</v>
      </c>
      <c r="B209" s="26" t="str">
        <f>VLOOKUP($A209,Infrastructure!$A$13:$E$74,2,0)&amp;""</f>
        <v>Have you implemented an intrusion prevention system (network-based)?</v>
      </c>
      <c r="C209" s="52" t="str">
        <f>VLOOKUP($A209,Infrastructure!$A$13:$E$74,3,0)&amp;""</f>
        <v>yes</v>
      </c>
      <c r="D209" s="41" t="str">
        <f>IF(LEFT(VLOOKUP($A209,Infrastructure!$A$13:$E$74,5,0),21)='Auto Responses'!$A$73,'Auto Responses'!$A$74,VLOOKUP($A209,Infrastructure!$A$13:$E$74,4,0))&amp;""</f>
        <v>windows firewall, Immuniweb - ThreatStack</v>
      </c>
      <c r="E209" s="350" t="str">
        <f>VLOOKUP($A209,Infrastructure!$A$13:$E$74,5,0)&amp;""</f>
        <v>Describe the currently implemented IPS.</v>
      </c>
      <c r="F209" s="202"/>
      <c r="G209" s="37" t="str">
        <f>VLOOKUP($A209,Questions!$A$2:$X$333,21,0)&amp;""</f>
        <v>Yes</v>
      </c>
      <c r="H209" s="192"/>
      <c r="I209" s="52" t="str">
        <f>VLOOKUP($A209,Questions!$A$2:$X$333,23,0)&amp;""</f>
        <v>Standard Importance</v>
      </c>
      <c r="J209" s="192"/>
      <c r="K209" s="55" t="b">
        <v>0</v>
      </c>
      <c r="L209" s="1"/>
    </row>
    <row r="210" spans="1:12" s="36" customFormat="1" ht="221">
      <c r="A210" s="25" t="str">
        <f>Infrastructure!$A$59</f>
        <v>FIDP-08</v>
      </c>
      <c r="B210" s="26" t="str">
        <f>VLOOKUP($A210,Infrastructure!$A$13:$E$74,2,0)&amp;""</f>
        <v>Do you employ host-based intrusion prevention?</v>
      </c>
      <c r="C210" s="52" t="str">
        <f>VLOOKUP($A210,Infrastructure!$A$13:$E$74,3,0)&amp;""</f>
        <v>yes</v>
      </c>
      <c r="D210" s="41" t="str">
        <f>IF(LEFT(VLOOKUP($A210,Infrastructure!$A$13:$E$74,5,0),21)='Auto Responses'!$A$73,'Auto Responses'!$A$74,VLOOKUP($A210,Infrastructure!$A$13:$E$74,4,0))&amp;""</f>
        <v>Host-based intrusion prevention is implemented on the dedicated Windows server environment hosted by Liquid Web LLC. Protections include Windows Defender Antivirus and Firewall with exploit protection, along with Liquid Web’s Threat Detection services.</v>
      </c>
      <c r="E210" s="350" t="str">
        <f>VLOOKUP($A210,Infrastructure!$A$13:$E$74,5,0)&amp;""</f>
        <v>Describe the currently implemented host-based IPS solution(s).</v>
      </c>
      <c r="F210" s="202"/>
      <c r="G210" s="37" t="str">
        <f>VLOOKUP($A210,Questions!$A$2:$X$333,21,0)&amp;""</f>
        <v>Yes</v>
      </c>
      <c r="H210" s="192"/>
      <c r="I210" s="52" t="str">
        <f>VLOOKUP($A210,Questions!$A$2:$X$333,23,0)&amp;""</f>
        <v>Standard Importance</v>
      </c>
      <c r="J210" s="192"/>
      <c r="K210" s="55" t="b">
        <v>0</v>
      </c>
      <c r="L210" s="1"/>
    </row>
    <row r="211" spans="1:12" s="36" customFormat="1" ht="238">
      <c r="A211" s="25" t="str">
        <f>Infrastructure!$A$60</f>
        <v>FIDP-09</v>
      </c>
      <c r="B211" s="26" t="str">
        <f>VLOOKUP($A211,Infrastructure!$A$13:$E$74,2,0)&amp;""</f>
        <v>Are you employing any next-generation persistent threat (NGPT) monitoring?</v>
      </c>
      <c r="C211" s="52" t="str">
        <f>VLOOKUP($A211,Infrastructure!$A$13:$E$74,3,0)&amp;""</f>
        <v>yes</v>
      </c>
      <c r="D211" s="41" t="str">
        <f>IF(LEFT(VLOOKUP($A211,Infrastructure!$A$13:$E$74,5,0),21)='Auto Responses'!$A$73,'Auto Responses'!$A$74,VLOOKUP($A211,Infrastructure!$A$13:$E$74,4,0))&amp;""</f>
        <v>We rely on hosting provider Liquid Web LLC (SOC 2 certified), which employs continuous intrusion detection, intrusion prevention, and ThreatStck Detector monitoring for advanced persistent threats at the infrastructure level. Application-level security is supplemented by regular ImmuniWeb scans</v>
      </c>
      <c r="E211" s="350" t="str">
        <f>VLOOKUP($A211,Infrastructure!$A$13:$E$74,5,0)&amp;""</f>
        <v>Describe your NGPT monitoring strategy.</v>
      </c>
      <c r="F211" s="202"/>
      <c r="G211" s="37" t="str">
        <f>VLOOKUP($A211,Questions!$A$2:$X$333,21,0)&amp;""</f>
        <v>Yes</v>
      </c>
      <c r="H211" s="192"/>
      <c r="I211" s="52" t="str">
        <f>VLOOKUP($A211,Questions!$A$2:$X$333,23,0)&amp;""</f>
        <v>Standard Importance</v>
      </c>
      <c r="J211" s="192"/>
      <c r="K211" s="55" t="b">
        <v>0</v>
      </c>
      <c r="L211" s="1"/>
    </row>
    <row r="212" spans="1:12" s="36" customFormat="1" ht="170">
      <c r="A212" s="25" t="str">
        <f>Infrastructure!$A$61</f>
        <v>FIDP-10</v>
      </c>
      <c r="B212" s="26" t="str">
        <f>VLOOKUP($A212,Infrastructure!$A$13:$E$74,2,0)&amp;""</f>
        <v>Is intrusion monitoring performed internally or by a third-party service?</v>
      </c>
      <c r="C212" s="52" t="str">
        <f>VLOOKUP($A212,Infrastructure!$A$13:$E$74,3,0)&amp;""</f>
        <v/>
      </c>
      <c r="D212" s="41" t="str">
        <f>IF(LEFT(VLOOKUP($A212,Infrastructure!$A$13:$E$74,5,0),21)='Auto Responses'!$A$73,'Auto Responses'!$A$74,VLOOKUP($A212,Infrastructure!$A$13:$E$74,4,0))&amp;""</f>
        <v>Third party.  ThreatDown (Malwarebytes EDR) Cybersecurity Monitoring, Threat Stack Oversight (IDS add-on): Behavioral monitoring and real-time alerts on suspicious system behavior.</v>
      </c>
      <c r="E212" s="350" t="str">
        <f>VLOOKUP($A212,Infrastructure!$A$13:$E$74,5,0)&amp;""</f>
        <v>In addition to stating your intrusion monitoring strategy, provide a brief summary of its implementation.</v>
      </c>
      <c r="F212" s="202"/>
      <c r="G212" s="37" t="str">
        <f>VLOOKUP($A212,Questions!$A$2:$X$333,21,0)&amp;""</f>
        <v>Not scored</v>
      </c>
      <c r="H212" s="192"/>
      <c r="I212" s="52" t="str">
        <f>VLOOKUP($A212,Questions!$A$2:$X$333,23,0)&amp;""</f>
        <v>Standard Importance</v>
      </c>
      <c r="J212" s="192"/>
      <c r="K212" s="55" t="b">
        <v>0</v>
      </c>
      <c r="L212" s="1"/>
    </row>
    <row r="213" spans="1:12" s="36" customFormat="1" ht="51">
      <c r="A213" s="25" t="str">
        <f>Infrastructure!$A$62</f>
        <v>FIDP-11</v>
      </c>
      <c r="B213" s="26" t="str">
        <f>VLOOKUP($A213,Infrastructure!$A$13:$E$74,2,0)&amp;""</f>
        <v>Do you monitor for intrusions on a 24 x 7 x 365 basis?</v>
      </c>
      <c r="C213" s="52" t="str">
        <f>VLOOKUP($A213,Infrastructure!$A$13:$E$74,3,0)&amp;""</f>
        <v>yes</v>
      </c>
      <c r="D213" s="41" t="str">
        <f>IF(LEFT(VLOOKUP($A213,Infrastructure!$A$13:$E$74,5,0),21)='Auto Responses'!$A$73,'Auto Responses'!$A$74,VLOOKUP($A213,Infrastructure!$A$13:$E$74,4,0))&amp;""</f>
        <v>done automatically by Liquid Web and Immuniweb</v>
      </c>
      <c r="E213" s="350" t="str">
        <f>VLOOKUP($A213,Infrastructure!$A$13:$E$74,5,0)&amp;""</f>
        <v>Provide a brief summary of this activity.</v>
      </c>
      <c r="F213" s="202"/>
      <c r="G213" s="37" t="str">
        <f>VLOOKUP($A213,Questions!$A$2:$X$333,21,0)&amp;""</f>
        <v>Yes</v>
      </c>
      <c r="H213" s="192"/>
      <c r="I213" s="52" t="str">
        <f>VLOOKUP($A213,Questions!$A$2:$X$333,23,0)&amp;""</f>
        <v>Minor Importance</v>
      </c>
      <c r="J213" s="192"/>
      <c r="K213" s="55" t="b">
        <v>0</v>
      </c>
      <c r="L213" s="1"/>
    </row>
    <row r="214" spans="1:12" s="1" customFormat="1" ht="18">
      <c r="A214" s="70" t="str">
        <f>VLOOKUP(LEFT($A215,4),'Auto Responses'!$N$4:$O$38,2,0)&amp;""</f>
        <v xml:space="preserve"> Incident Handling</v>
      </c>
      <c r="B214" s="29"/>
      <c r="C214" s="38"/>
      <c r="D214" s="38"/>
      <c r="E214" s="351"/>
      <c r="F214" s="139" t="s">
        <v>1089</v>
      </c>
      <c r="G214" s="358" t="s">
        <v>925</v>
      </c>
      <c r="H214" s="358" t="s">
        <v>927</v>
      </c>
      <c r="I214" s="358" t="s">
        <v>19</v>
      </c>
      <c r="J214" s="358" t="s">
        <v>912</v>
      </c>
      <c r="K214" s="38"/>
    </row>
    <row r="215" spans="1:12" s="36" customFormat="1" ht="356">
      <c r="A215" s="25" t="str">
        <f>Infrastructure!$A$64</f>
        <v>HFIH-01</v>
      </c>
      <c r="B215" s="26" t="str">
        <f>VLOOKUP($A215,Infrastructure!$A$13:$E$74,2,0)&amp;""</f>
        <v>Do you have a formal incident response plan?</v>
      </c>
      <c r="C215" s="52" t="str">
        <f>VLOOKUP($A215,Infrastructure!$A$13:$E$74,3,0)&amp;""</f>
        <v>yes</v>
      </c>
      <c r="D215" s="41" t="str">
        <f>IF(LEFT(VLOOKUP($A215,Infrastructure!$A$13:$E$74,5,0),21)='Auto Responses'!$A$73,'Auto Responses'!$A$74,VLOOKUP($A215,Infrastructure!$A$13:$E$74,4,0))&amp;""</f>
        <v>Reporting of Suspected and Actual Breaches. America’s Software Corporation will notify Customer by telephone and email. In no event shall the report be made more than two (2) business days after a breach has occurred. Any breach may be grounds for immediate termination of this Agreement by the Customer. America’s Software Corporation will be responsible for the cost of the breach if breach is due to negligence by us or our employees.</v>
      </c>
      <c r="E215" s="350" t="str">
        <f>VLOOKUP($A215,Infrastructure!$A$13:$E$74,5,0)&amp;""</f>
        <v>Summarize or provide a link to your formal incident response plan.</v>
      </c>
      <c r="F215" s="202"/>
      <c r="G215" s="37" t="str">
        <f>VLOOKUP($A215,Questions!$A$2:$X$333,21,0)&amp;""</f>
        <v>Yes</v>
      </c>
      <c r="H215" s="192"/>
      <c r="I215" s="52" t="str">
        <f>VLOOKUP($A215,Questions!$A$2:$X$333,23,0)&amp;""</f>
        <v>Standard Importance</v>
      </c>
      <c r="J215" s="192"/>
      <c r="K215" s="55" t="b">
        <v>0</v>
      </c>
      <c r="L215" s="1"/>
    </row>
    <row r="216" spans="1:12" s="36" customFormat="1" ht="102">
      <c r="A216" s="25" t="str">
        <f>Infrastructure!$A$65</f>
        <v>HFIH-02</v>
      </c>
      <c r="B216" s="26" t="str">
        <f>VLOOKUP($A216,Infrastructure!$A$13:$E$74,2,0)&amp;""</f>
        <v>Do you either have an internal incident response team or retain an external team?</v>
      </c>
      <c r="C216" s="52" t="str">
        <f>VLOOKUP($A216,Infrastructure!$A$13:$E$74,3,0)&amp;""</f>
        <v>yes</v>
      </c>
      <c r="D216" s="41" t="str">
        <f>IF(LEFT(VLOOKUP($A216,Infrastructure!$A$13:$E$74,5,0),21)='Auto Responses'!$A$73,'Auto Responses'!$A$74,VLOOKUP($A216,Infrastructure!$A$13:$E$74,4,0))&amp;""</f>
        <v xml:space="preserve">Incident response capability is provided through Liquid Web LLC. Also ASC Presient will notify users within 2 business days.  </v>
      </c>
      <c r="E216" s="350" t="str">
        <f>VLOOKUP($A216,Infrastructure!$A$13:$E$74,5,0)&amp;""</f>
        <v>Summarize your incident response and reporting processes.</v>
      </c>
      <c r="F216" s="202"/>
      <c r="G216" s="37" t="str">
        <f>VLOOKUP($A216,Questions!$A$2:$X$333,21,0)&amp;""</f>
        <v>Yes</v>
      </c>
      <c r="H216" s="192"/>
      <c r="I216" s="52" t="str">
        <f>VLOOKUP($A216,Questions!$A$2:$X$333,23,0)&amp;""</f>
        <v>Minor Importance</v>
      </c>
      <c r="J216" s="192"/>
      <c r="K216" s="55" t="b">
        <v>0</v>
      </c>
      <c r="L216" s="1"/>
    </row>
    <row r="217" spans="1:12" s="36" customFormat="1" ht="153">
      <c r="A217" s="25" t="str">
        <f>Infrastructure!$A$66</f>
        <v>HFIH-03</v>
      </c>
      <c r="B217" s="26" t="str">
        <f>VLOOKUP($A217,Infrastructure!$A$13:$E$74,2,0)&amp;""</f>
        <v>Do you have the capability to respond to incidents on a 24 x 7 x 365 basis?</v>
      </c>
      <c r="C217" s="52" t="str">
        <f>VLOOKUP($A217,Infrastructure!$A$13:$E$74,3,0)&amp;""</f>
        <v>No</v>
      </c>
      <c r="D217" s="41" t="str">
        <f>IF(LEFT(VLOOKUP($A217,Infrastructure!$A$13:$E$74,5,0),21)='Auto Responses'!$A$73,'Auto Responses'!$A$74,VLOOKUP($A217,Infrastructure!$A$13:$E$74,4,0))&amp;""</f>
        <v>Incident response capability is provided through Liquid Web LLC,  which offers 24 x 7 x 365 monitoring, alerting, and incident response as part of its managed hosting services.</v>
      </c>
      <c r="E217" s="350" t="str">
        <f>VLOOKUP($A217,Infrastructure!$A$13:$E$74,5,0)&amp;""</f>
        <v>State plans for acquiring internal resources or an external team.</v>
      </c>
      <c r="F217" s="202"/>
      <c r="G217" s="37" t="str">
        <f>VLOOKUP($A217,Questions!$A$2:$X$333,21,0)&amp;""</f>
        <v>Yes</v>
      </c>
      <c r="H217" s="192"/>
      <c r="I217" s="52" t="str">
        <f>VLOOKUP($A217,Questions!$A$2:$X$333,23,0)&amp;""</f>
        <v>Minor Importance</v>
      </c>
      <c r="J217" s="192"/>
      <c r="K217" s="55" t="b">
        <v>0</v>
      </c>
      <c r="L217" s="1"/>
    </row>
    <row r="218" spans="1:12" s="36" customFormat="1" ht="51">
      <c r="A218" s="25" t="str">
        <f>Infrastructure!$A$67</f>
        <v>HFIH-04</v>
      </c>
      <c r="B218" s="26" t="str">
        <f>VLOOKUP($A218,Infrastructure!$A$13:$E$74,2,0)&amp;""</f>
        <v>Do you carry cyber-risk insurance to protect against unforeseen service outages, data that is lost or stolen, and security incidents?</v>
      </c>
      <c r="C218" s="52" t="str">
        <f>VLOOKUP($A218,Infrastructure!$A$13:$E$74,3,0)&amp;""</f>
        <v>yes</v>
      </c>
      <c r="D218" s="41" t="str">
        <f>IF(LEFT(VLOOKUP($A218,Infrastructure!$A$13:$E$74,5,0),21)='Auto Responses'!$A$73,'Auto Responses'!$A$74,VLOOKUP($A218,Infrastructure!$A$13:$E$74,4,0))&amp;""</f>
        <v>1,000 cybersecurity insurance and 1,000 general liability isurance</v>
      </c>
      <c r="E218" s="350" t="str">
        <f>VLOOKUP($A218,Infrastructure!$A$13:$E$74,5,0)&amp;""</f>
        <v>Describe the coverage in place for this solution.</v>
      </c>
      <c r="F218" s="202"/>
      <c r="G218" s="37" t="str">
        <f>VLOOKUP($A218,Questions!$A$2:$X$333,21,0)&amp;""</f>
        <v>Yes</v>
      </c>
      <c r="H218" s="192"/>
      <c r="I218" s="52" t="str">
        <f>VLOOKUP($A218,Questions!$A$2:$X$333,23,0)&amp;""</f>
        <v>Minor Importance</v>
      </c>
      <c r="J218" s="192"/>
      <c r="K218" s="55" t="b">
        <v>0</v>
      </c>
      <c r="L218" s="1"/>
    </row>
    <row r="219" spans="1:12" s="1" customFormat="1" ht="18">
      <c r="A219" s="70" t="str">
        <f>VLOOKUP(LEFT($A220,4),'Auto Responses'!$N$4:$O$38,2,0)&amp;""</f>
        <v xml:space="preserve"> Vulnerability Management</v>
      </c>
      <c r="B219" s="29"/>
      <c r="C219" s="38"/>
      <c r="D219" s="38"/>
      <c r="E219" s="351"/>
      <c r="F219" s="139" t="s">
        <v>1089</v>
      </c>
      <c r="G219" s="358" t="s">
        <v>925</v>
      </c>
      <c r="H219" s="358" t="s">
        <v>927</v>
      </c>
      <c r="I219" s="358" t="s">
        <v>19</v>
      </c>
      <c r="J219" s="358" t="s">
        <v>912</v>
      </c>
      <c r="K219" s="38"/>
    </row>
    <row r="220" spans="1:12" s="36" customFormat="1" ht="289">
      <c r="A220" s="25" t="str">
        <f>Infrastructure!$A$69</f>
        <v>VULN-01</v>
      </c>
      <c r="B220" s="26" t="str">
        <f>VLOOKUP($A220,Infrastructure!$A$13:$E$74,2,0)&amp;""</f>
        <v>Are your systems and applications scanned with an authenticated user account for vulnerabilities (that are remediated) prior to new releases?*</v>
      </c>
      <c r="C220" s="52" t="str">
        <f>VLOOKUP($A220,Infrastructure!$A$13:$E$74,3,0)&amp;""</f>
        <v>yes</v>
      </c>
      <c r="D220" s="41" t="str">
        <f>IF(LEFT(VLOOKUP($A220,Infrastructure!$A$13:$E$74,5,0),21)='Auto Responses'!$A$73,'Auto Responses'!$A$74,VLOOKUP($A220,Infrastructure!$A$13:$E$74,4,0))&amp;""</f>
        <v>We use  ImmuniWeb AI-powered security testing, including scans performed with authenticated test accounts. Scans are conducted prior to new releases, and any identified vulnerabilities are remediated before deployment. Hosting provider Liquid Web LLC performs additional infrastructure-level vulnerability monitoring as part of its SOC 2–audited services</v>
      </c>
      <c r="E220" s="350" t="str">
        <f>VLOOKUP($A220,Infrastructure!$A$13:$E$74,5,0)&amp;""</f>
        <v>Provide a brief description.</v>
      </c>
      <c r="F220" s="202"/>
      <c r="G220" s="37" t="str">
        <f>VLOOKUP($A220,Questions!$A$2:$X$333,21,0)&amp;""</f>
        <v>Yes</v>
      </c>
      <c r="H220" s="192"/>
      <c r="I220" s="52" t="str">
        <f>VLOOKUP($A220,Questions!$A$2:$X$333,23,0)&amp;""</f>
        <v>Critical Importance</v>
      </c>
      <c r="J220" s="192"/>
      <c r="K220" s="55" t="b">
        <v>0</v>
      </c>
      <c r="L220" s="1"/>
    </row>
    <row r="221" spans="1:12" s="36" customFormat="1" ht="204">
      <c r="A221" s="25" t="str">
        <f>Infrastructure!$A$70</f>
        <v>VULN-02</v>
      </c>
      <c r="B221" s="26" t="str">
        <f>VLOOKUP($A221,Infrastructure!$A$13:$E$74,2,0)&amp;""</f>
        <v>Will you provide results of application and system vulnerability scans to the institution?*</v>
      </c>
      <c r="C221" s="52" t="str">
        <f>VLOOKUP($A221,Infrastructure!$A$13:$E$74,3,0)&amp;""</f>
        <v>yes</v>
      </c>
      <c r="D221" s="41" t="str">
        <f>IF(LEFT(VLOOKUP($A221,Infrastructure!$A$13:$E$74,5,0),21)='Auto Responses'!$A$73,'Auto Responses'!$A$74,VLOOKUP($A221,Infrastructure!$A$13:$E$74,4,0))&amp;""</f>
        <v>Infrastructure vulnerability scanning is performed by hosting provider Liquid Web LLC as part of its SOC 2–audited managed services. While raw provider system scan results are not shared directly, institutional assurances are available through SOC reports.</v>
      </c>
      <c r="E221" s="350" t="str">
        <f>VLOOKUP($A221,Infrastructure!$A$13:$E$74,5,0)&amp;""</f>
        <v>Provide a reference to security scan documentation.</v>
      </c>
      <c r="F221" s="202"/>
      <c r="G221" s="37" t="str">
        <f>VLOOKUP($A221,Questions!$A$2:$X$333,21,0)&amp;""</f>
        <v>Yes</v>
      </c>
      <c r="H221" s="192"/>
      <c r="I221" s="52" t="str">
        <f>VLOOKUP($A221,Questions!$A$2:$X$333,23,0)&amp;""</f>
        <v>Critical Importance</v>
      </c>
      <c r="J221" s="192"/>
      <c r="K221" s="55" t="b">
        <v>0</v>
      </c>
      <c r="L221" s="1"/>
    </row>
    <row r="222" spans="1:12" s="36" customFormat="1" ht="289">
      <c r="A222" s="25" t="str">
        <f>Infrastructure!$A$71</f>
        <v>VULN-03</v>
      </c>
      <c r="B222" s="26" t="str">
        <f>VLOOKUP($A222,Infrastructure!$A$13:$E$74,2,0)&amp;""</f>
        <v>Will you allow the institution to perform its own vulnerability testing and/or scanning of your systems and/or application, provided that testing is performed at a mutually agreed upon time and date?*</v>
      </c>
      <c r="C222" s="52" t="str">
        <f>VLOOKUP($A222,Infrastructure!$A$13:$E$74,3,0)&amp;""</f>
        <v>yes</v>
      </c>
      <c r="D222" s="41" t="str">
        <f>IF(LEFT(VLOOKUP($A222,Infrastructure!$A$13:$E$74,5,0),21)='Auto Responses'!$A$73,'Auto Responses'!$A$74,VLOOKUP($A222,Infrastructure!$A$13:$E$74,4,0))&amp;""</f>
        <v>Yes, with prior coordination. America’s Software Corporation allows institutions to conduct vulnerability testing and/or scanning of its applications at a mutually agreed upon time and date, provided testing does not impact service availability. Any such testing must be coordinated in advance to ensure compliance with hosting provider Liquid Web LLC’s SOC-audited security policies</v>
      </c>
      <c r="E222" s="350" t="str">
        <f>VLOOKUP($A222,Infrastructure!$A$13:$E$74,5,0)&amp;""</f>
        <v>Provide reference to the process or procedure to set up security testing times and scopes.</v>
      </c>
      <c r="F222" s="202"/>
      <c r="G222" s="37" t="str">
        <f>VLOOKUP($A222,Questions!$A$2:$X$333,21,0)&amp;""</f>
        <v>Yes</v>
      </c>
      <c r="H222" s="192"/>
      <c r="I222" s="52" t="str">
        <f>VLOOKUP($A222,Questions!$A$2:$X$333,23,0)&amp;""</f>
        <v>Critical Importance</v>
      </c>
      <c r="J222" s="192"/>
      <c r="K222" s="55" t="b">
        <v>0</v>
      </c>
      <c r="L222" s="1"/>
    </row>
    <row r="223" spans="1:12" s="36" customFormat="1" ht="238">
      <c r="A223" s="25" t="str">
        <f>Infrastructure!$A$72</f>
        <v>VULN-04</v>
      </c>
      <c r="B223" s="26" t="str">
        <f>VLOOKUP($A223,Infrastructure!$A$13:$E$74,2,0)&amp;""</f>
        <v>Have your systems and applications had a third-party security assessment completed in the last year?</v>
      </c>
      <c r="C223" s="52" t="str">
        <f>VLOOKUP($A223,Infrastructure!$A$13:$E$74,3,0)&amp;""</f>
        <v>yes</v>
      </c>
      <c r="D223" s="41" t="str">
        <f>IF(LEFT(VLOOKUP($A223,Infrastructure!$A$13:$E$74,5,0),21)='Auto Responses'!$A$73,'Auto Responses'!$A$74,VLOOKUP($A223,Infrastructure!$A$13:$E$74,4,0))&amp;""</f>
        <v>Yes. Hosting provider Liquid Web LLC undergoes independent SOC 2 audits annually, covering infrastructure security, availability, and confidentiality controls. In addition, America’s Software Corporation uses ImmuniWeb for third-party vulnerability scanning of its web applications (TalEval and Discovery Pro)</v>
      </c>
      <c r="E223" s="350" t="str">
        <f>VLOOKUP($A223,Infrastructure!$A$13:$E$74,5,0)&amp;""</f>
        <v>Provide the results with this document (link or attached), if possible. State the date of the last completed third-party security assessment.</v>
      </c>
      <c r="F223" s="202"/>
      <c r="G223" s="37" t="str">
        <f>VLOOKUP($A223,Questions!$A$2:$X$333,21,0)&amp;""</f>
        <v>Yes</v>
      </c>
      <c r="H223" s="192"/>
      <c r="I223" s="52" t="str">
        <f>VLOOKUP($A223,Questions!$A$2:$X$333,23,0)&amp;""</f>
        <v>Standard Importance</v>
      </c>
      <c r="J223" s="192"/>
      <c r="K223" s="55" t="b">
        <v>0</v>
      </c>
      <c r="L223" s="1"/>
    </row>
    <row r="224" spans="1:12" s="36" customFormat="1" ht="30">
      <c r="A224" s="25" t="str">
        <f>Infrastructure!$A$73</f>
        <v>VULN-05</v>
      </c>
      <c r="B224" s="26" t="str">
        <f>VLOOKUP($A224,Infrastructure!$A$13:$E$74,2,0)&amp;""</f>
        <v>Do you regularly scan for common web application security vulnerabilities (e.g., SQL injection, XSS, XSRF, etc.)?</v>
      </c>
      <c r="C224" s="52" t="str">
        <f>VLOOKUP($A224,Infrastructure!$A$13:$E$74,3,0)&amp;""</f>
        <v>yes</v>
      </c>
      <c r="D224" s="41" t="str">
        <f>IF(LEFT(VLOOKUP($A224,Infrastructure!$A$13:$E$74,5,0),21)='Auto Responses'!$A$73,'Auto Responses'!$A$74,VLOOKUP($A224,Infrastructure!$A$13:$E$74,4,0))&amp;""</f>
        <v/>
      </c>
      <c r="E224" s="350" t="str">
        <f>VLOOKUP($A224,Infrastructure!$A$13:$E$74,5,0)&amp;""</f>
        <v/>
      </c>
      <c r="F224" s="202"/>
      <c r="G224" s="37" t="str">
        <f>VLOOKUP($A224,Questions!$A$2:$X$333,21,0)&amp;""</f>
        <v>Yes</v>
      </c>
      <c r="H224" s="192"/>
      <c r="I224" s="52" t="str">
        <f>VLOOKUP($A224,Questions!$A$2:$X$333,23,0)&amp;""</f>
        <v>Standard Importance</v>
      </c>
      <c r="J224" s="192"/>
      <c r="K224" s="55" t="b">
        <v>0</v>
      </c>
      <c r="L224" s="1"/>
    </row>
    <row r="225" spans="1:12" s="36" customFormat="1" ht="290" thickBot="1">
      <c r="A225" s="25" t="str">
        <f>Infrastructure!$A$74</f>
        <v>VULN-06</v>
      </c>
      <c r="B225" s="26" t="str">
        <f>VLOOKUP($A225,Infrastructure!$A$13:$E$74,2,0)&amp;""</f>
        <v>Are your systems and applications regularly scanned externally for vulnerabilities?</v>
      </c>
      <c r="C225" s="52" t="str">
        <f>VLOOKUP($A225,Infrastructure!$A$13:$E$74,3,0)&amp;""</f>
        <v>yes</v>
      </c>
      <c r="D225" s="41" t="str">
        <f>IF(LEFT(VLOOKUP($A225,Infrastructure!$A$13:$E$74,5,0),21)='Auto Responses'!$A$73,'Auto Responses'!$A$74,VLOOKUP($A225,Infrastructure!$A$13:$E$74,4,0))&amp;""</f>
        <v>Liquid Web LLC performs continuous infrastructure-level vulnerability monitoring using ThreatStack. In addition, America’s Software Corporation uses ImmuniWeb to regularly scan TalEval and Discovery Pro applications for common web vulnerabilities, leaked/malicious code, and configuration weaknesses. Findings are remediated as needed</v>
      </c>
      <c r="E225" s="350" t="str">
        <f>VLOOKUP($A225,Infrastructure!$A$13:$E$74,5,0)&amp;""</f>
        <v>Decribe your external application vulnerability scanning strategy.</v>
      </c>
      <c r="F225" s="202"/>
      <c r="G225" s="37" t="str">
        <f>VLOOKUP($A225,Questions!$A$2:$X$333,21,0)&amp;""</f>
        <v>Yes</v>
      </c>
      <c r="H225" s="192"/>
      <c r="I225" s="52" t="str">
        <f>VLOOKUP($A225,Questions!$A$2:$X$333,23,0)&amp;""</f>
        <v>Minor Importance</v>
      </c>
      <c r="J225" s="192"/>
      <c r="K225" s="56" t="b">
        <v>0</v>
      </c>
      <c r="L225" s="1"/>
    </row>
    <row r="226" spans="1:12" s="1" customFormat="1" ht="18">
      <c r="A226" s="70" t="str">
        <f>VLOOKUP(LEFT($A227,4),'Auto Responses'!$N$4:$O$38,2,0)&amp;""</f>
        <v xml:space="preserve"> IT Accessibility</v>
      </c>
      <c r="B226" s="29"/>
      <c r="C226" s="38"/>
      <c r="D226" s="38"/>
      <c r="E226" s="351"/>
      <c r="F226" s="139" t="s">
        <v>1089</v>
      </c>
      <c r="G226" s="358" t="s">
        <v>925</v>
      </c>
      <c r="H226" s="358" t="s">
        <v>927</v>
      </c>
      <c r="I226" s="358" t="s">
        <v>19</v>
      </c>
      <c r="J226" s="358" t="s">
        <v>912</v>
      </c>
      <c r="K226" s="38"/>
    </row>
    <row r="227" spans="1:12" s="36" customFormat="1" ht="17">
      <c r="A227" s="25" t="str">
        <f>'IT Accessibility'!$A$20</f>
        <v>ITAC-01</v>
      </c>
      <c r="B227" s="26" t="str">
        <f>VLOOKUP($A227,'IT Accessibility'!$A$13:$E$37,2,0)&amp;""</f>
        <v>Solution Provider Accessibility Contact Name</v>
      </c>
      <c r="C227" s="324" t="str">
        <f>VLOOKUP($A227,'IT Accessibility'!$A$13:$E$37,3,0)&amp;""</f>
        <v>Connie Harper</v>
      </c>
      <c r="D227" s="325" t="str">
        <f>IF(LEFT(VLOOKUP($A227,'IT Accessibility'!$A$13:$E$37,5,0),21)='Auto Responses'!$A$73,'Auto Responses'!$A$74,VLOOKUP($A227,'IT Accessibility'!$A$13:$E$37,4,0))&amp;""</f>
        <v/>
      </c>
      <c r="E227" s="353" t="str">
        <f>VLOOKUP($A227,'IT Accessibility'!$A$13:$E$37,5,0)&amp;""</f>
        <v/>
      </c>
      <c r="F227" s="202"/>
      <c r="G227" s="37" t="str">
        <f>VLOOKUP($A227,Questions!$A$2:$X$333,21,0)&amp;""</f>
        <v>Not scored</v>
      </c>
      <c r="H227" s="192"/>
      <c r="I227" s="52" t="str">
        <f>VLOOKUP($A227,Questions!$A$2:$X$333,23,0)&amp;""</f>
        <v/>
      </c>
      <c r="J227" s="192"/>
      <c r="K227" s="55" t="b">
        <v>0</v>
      </c>
      <c r="L227" s="1"/>
    </row>
    <row r="228" spans="1:12" s="36" customFormat="1" ht="17">
      <c r="A228" s="25" t="str">
        <f>'IT Accessibility'!$A$21</f>
        <v>ITAC-02</v>
      </c>
      <c r="B228" s="26" t="str">
        <f>VLOOKUP($A228,'IT Accessibility'!$A$13:$E$37,2,0)&amp;""</f>
        <v>Solution Provider Accessibility Contact Title</v>
      </c>
      <c r="C228" s="324" t="str">
        <f>VLOOKUP($A228,'IT Accessibility'!$A$13:$E$37,3,0)&amp;""</f>
        <v>President</v>
      </c>
      <c r="D228" s="323" t="str">
        <f>IF(LEFT(VLOOKUP($A228,'IT Accessibility'!$A$13:$E$37,5,0),21)='Auto Responses'!$A$73,'Auto Responses'!$A$74,VLOOKUP($A228,'IT Accessibility'!$A$13:$E$37,4,0))&amp;""</f>
        <v/>
      </c>
      <c r="E228" s="353" t="str">
        <f>VLOOKUP($A228,'IT Accessibility'!$A$13:$E$37,5,0)&amp;""</f>
        <v/>
      </c>
      <c r="F228" s="202"/>
      <c r="G228" s="37" t="str">
        <f>VLOOKUP($A228,Questions!$A$2:$X$333,21,0)&amp;""</f>
        <v>Not scored</v>
      </c>
      <c r="H228" s="192"/>
      <c r="I228" s="52" t="str">
        <f>VLOOKUP($A228,Questions!$A$2:$X$333,23,0)&amp;""</f>
        <v/>
      </c>
      <c r="J228" s="192"/>
      <c r="K228" s="55" t="b">
        <v>0</v>
      </c>
      <c r="L228" s="1"/>
    </row>
    <row r="229" spans="1:12" s="36" customFormat="1" ht="17">
      <c r="A229" s="25" t="str">
        <f>'IT Accessibility'!$A$22</f>
        <v>ITAC-03</v>
      </c>
      <c r="B229" s="26" t="str">
        <f>VLOOKUP($A229,'IT Accessibility'!$A$13:$E$37,2,0)&amp;""</f>
        <v>Solution Provider Accessibility Contact Email</v>
      </c>
      <c r="C229" s="324" t="str">
        <f>VLOOKUP($A229,'IT Accessibility'!$A$13:$E$37,3,0)&amp;""</f>
        <v>connie9030@icloud.com</v>
      </c>
      <c r="D229" s="323" t="str">
        <f>IF(LEFT(VLOOKUP($A229,'IT Accessibility'!$A$13:$E$37,5,0),21)='Auto Responses'!$A$73,'Auto Responses'!$A$74,VLOOKUP($A229,'IT Accessibility'!$A$13:$E$37,4,0))&amp;""</f>
        <v/>
      </c>
      <c r="E229" s="353" t="str">
        <f>VLOOKUP($A229,'IT Accessibility'!$A$13:$E$37,5,0)&amp;""</f>
        <v/>
      </c>
      <c r="F229" s="202"/>
      <c r="G229" s="37" t="str">
        <f>VLOOKUP($A229,Questions!$A$2:$X$333,21,0)&amp;""</f>
        <v>Not scored</v>
      </c>
      <c r="H229" s="192"/>
      <c r="I229" s="52" t="str">
        <f>VLOOKUP($A229,Questions!$A$2:$X$333,23,0)&amp;""</f>
        <v/>
      </c>
      <c r="J229" s="192"/>
      <c r="K229" s="55" t="b">
        <v>0</v>
      </c>
      <c r="L229" s="1"/>
    </row>
    <row r="230" spans="1:12" s="36" customFormat="1" ht="17">
      <c r="A230" s="25" t="str">
        <f>'IT Accessibility'!$A$23</f>
        <v>ITAC-04</v>
      </c>
      <c r="B230" s="26" t="str">
        <f>VLOOKUP($A230,'IT Accessibility'!$A$13:$E$37,2,0)&amp;""</f>
        <v>Solution Provider Accessibility Contact Phone Number</v>
      </c>
      <c r="C230" s="324" t="str">
        <f>VLOOKUP($A230,'IT Accessibility'!$A$13:$E$37,3,0)&amp;""</f>
        <v>864-814-0323</v>
      </c>
      <c r="D230" s="323" t="str">
        <f>IF(LEFT(VLOOKUP($A230,'IT Accessibility'!$A$13:$E$37,5,0),21)='Auto Responses'!$A$73,'Auto Responses'!$A$74,VLOOKUP($A230,'IT Accessibility'!$A$13:$E$37,4,0))&amp;""</f>
        <v/>
      </c>
      <c r="E230" s="353" t="str">
        <f>VLOOKUP($A230,'IT Accessibility'!$A$13:$E$37,5,0)&amp;""</f>
        <v/>
      </c>
      <c r="F230" s="202"/>
      <c r="G230" s="37" t="str">
        <f>VLOOKUP($A230,Questions!$A$2:$X$333,21,0)&amp;""</f>
        <v>Not scored</v>
      </c>
      <c r="H230" s="192"/>
      <c r="I230" s="52" t="str">
        <f>VLOOKUP($A230,Questions!$A$2:$X$333,23,0)&amp;""</f>
        <v/>
      </c>
      <c r="J230" s="192"/>
      <c r="K230" s="55" t="b">
        <v>0</v>
      </c>
      <c r="L230" s="1"/>
    </row>
    <row r="231" spans="1:12" s="36" customFormat="1" ht="34">
      <c r="A231" s="25" t="str">
        <f>'IT Accessibility'!$A$24</f>
        <v>ITAC-05</v>
      </c>
      <c r="B231" s="26" t="str">
        <f>VLOOKUP($A231,'IT Accessibility'!$A$13:$E$37,2,0)&amp;""</f>
        <v>Web Link to Accessibility Statement or VPAT</v>
      </c>
      <c r="C231" s="324" t="str">
        <f>VLOOKUP($A231,'IT Accessibility'!$A$13:$E$37,3,0)&amp;""</f>
        <v/>
      </c>
      <c r="D231" s="323" t="str">
        <f>IF(LEFT(VLOOKUP($A231,'IT Accessibility'!$A$13:$E$37,5,0),21)='Auto Responses'!$A$73,'Auto Responses'!$A$74,VLOOKUP($A231,'IT Accessibility'!$A$13:$E$37,4,0))&amp;""</f>
        <v>It is attached.</v>
      </c>
      <c r="E231" s="353" t="str">
        <f>VLOOKUP($A231,'IT Accessibility'!$A$13:$E$37,5,0)&amp;""</f>
        <v>VPAT can also be added as an attachment</v>
      </c>
      <c r="F231" s="202"/>
      <c r="G231" s="37" t="str">
        <f>VLOOKUP($A231,Questions!$A$2:$X$333,21,0)&amp;""</f>
        <v>Not scored</v>
      </c>
      <c r="H231" s="192"/>
      <c r="I231" s="52" t="str">
        <f>VLOOKUP($A231,Questions!$A$2:$X$333,23,0)&amp;""</f>
        <v>Standard Importance</v>
      </c>
      <c r="J231" s="192"/>
      <c r="K231" s="55" t="b">
        <v>0</v>
      </c>
      <c r="L231" s="1"/>
    </row>
    <row r="232" spans="1:12" s="36" customFormat="1" ht="85">
      <c r="A232" s="25" t="str">
        <f>'IT Accessibility'!$A$25</f>
        <v>ITAC-06</v>
      </c>
      <c r="B232" s="26" t="str">
        <f>VLOOKUP($A232,'IT Accessibility'!$A$13:$E$37,2,0)&amp;""</f>
        <v>Has a VPAT or ACR been created or updated for the solution and version under consideration within the past 12 months?*</v>
      </c>
      <c r="C232" s="52" t="str">
        <f>VLOOKUP($A232,'IT Accessibility'!$A$13:$E$37,3,0)&amp;""</f>
        <v>yes</v>
      </c>
      <c r="D232" s="41" t="str">
        <f>IF(LEFT(VLOOKUP($A232,'IT Accessibility'!$A$13:$E$37,5,0),21)='Auto Responses'!$A$73,'Auto Responses'!$A$74,VLOOKUP($A232,'IT Accessibility'!$A$13:$E$37,4,0))&amp;""</f>
        <v>It is attached. June 26, 2026</v>
      </c>
      <c r="E232" s="353" t="str">
        <f>VLOOKUP($A232,'IT Accessibility'!$A$13:$E$37,5,0)&amp;""</f>
        <v>State the date the VPAT was completed. Include this VPAT in your submission and/or link to its web location.</v>
      </c>
      <c r="F232" s="202"/>
      <c r="G232" s="37" t="str">
        <f>VLOOKUP($A232,Questions!$A$2:$X$333,21,0)&amp;""</f>
        <v>Yes</v>
      </c>
      <c r="H232" s="192"/>
      <c r="I232" s="52" t="str">
        <f>VLOOKUP($A232,Questions!$A$2:$X$333,23,0)&amp;""</f>
        <v>Critical Importance</v>
      </c>
      <c r="J232" s="192"/>
      <c r="K232" s="55" t="b">
        <v>0</v>
      </c>
      <c r="L232" s="1"/>
    </row>
    <row r="233" spans="1:12" s="36" customFormat="1" ht="30">
      <c r="A233" s="25" t="str">
        <f>'IT Accessibility'!$A$26</f>
        <v>ITAC-07</v>
      </c>
      <c r="B233" s="26" t="str">
        <f>VLOOKUP($A233,'IT Accessibility'!$A$13:$E$37,2,0)&amp;""</f>
        <v>Will your company agree to meet your stated accessibility standard or WCAG 2.1 AA as part of your contractual agreement for the solution?*</v>
      </c>
      <c r="C233" s="52" t="str">
        <f>VLOOKUP($A233,'IT Accessibility'!$A$13:$E$37,3,0)&amp;""</f>
        <v>yes</v>
      </c>
      <c r="D233" s="41" t="str">
        <f>IF(LEFT(VLOOKUP($A233,'IT Accessibility'!$A$13:$E$37,5,0),21)='Auto Responses'!$A$73,'Auto Responses'!$A$74,VLOOKUP($A233,'IT Accessibility'!$A$13:$E$37,4,0))&amp;""</f>
        <v/>
      </c>
      <c r="E233" s="353" t="str">
        <f>VLOOKUP($A233,'IT Accessibility'!$A$13:$E$37,5,0)&amp;""</f>
        <v/>
      </c>
      <c r="F233" s="202"/>
      <c r="G233" s="37" t="str">
        <f>VLOOKUP($A233,Questions!$A$2:$X$333,21,0)&amp;""</f>
        <v>Yes</v>
      </c>
      <c r="H233" s="192"/>
      <c r="I233" s="52" t="str">
        <f>VLOOKUP($A233,Questions!$A$2:$X$333,23,0)&amp;""</f>
        <v>Critical Importance</v>
      </c>
      <c r="J233" s="192"/>
      <c r="K233" s="55" t="b">
        <v>0</v>
      </c>
      <c r="L233" s="1"/>
    </row>
    <row r="234" spans="1:12" s="36" customFormat="1" ht="17">
      <c r="A234" s="25" t="str">
        <f>'IT Accessibility'!$A$27</f>
        <v>ITAC-08</v>
      </c>
      <c r="B234" s="26" t="str">
        <f>VLOOKUP($A234,'IT Accessibility'!$A$13:$E$37,2,0)&amp;""</f>
        <v>Does the solution substantially conform to WCAG 2.1 AA?*</v>
      </c>
      <c r="C234" s="52" t="str">
        <f>VLOOKUP($A234,'IT Accessibility'!$A$13:$E$37,3,0)&amp;""</f>
        <v>yes</v>
      </c>
      <c r="D234" s="41" t="str">
        <f>IF(LEFT(VLOOKUP($A234,'IT Accessibility'!$A$13:$E$37,5,0),21)='Auto Responses'!$A$73,'Auto Responses'!$A$74,VLOOKUP($A234,'IT Accessibility'!$A$13:$E$37,4,0))&amp;""</f>
        <v/>
      </c>
      <c r="E234" s="353" t="str">
        <f>VLOOKUP($A234,'IT Accessibility'!$A$13:$E$37,5,0)&amp;""</f>
        <v/>
      </c>
      <c r="F234" s="202"/>
      <c r="G234" s="37" t="str">
        <f>VLOOKUP($A234,Questions!$A$2:$X$333,21,0)&amp;""</f>
        <v>Yes</v>
      </c>
      <c r="H234" s="192"/>
      <c r="I234" s="52" t="str">
        <f>VLOOKUP($A234,Questions!$A$2:$X$333,23,0)&amp;""</f>
        <v>Critical Importance</v>
      </c>
      <c r="J234" s="192"/>
      <c r="K234" s="55" t="b">
        <v>0</v>
      </c>
      <c r="L234" s="1"/>
    </row>
    <row r="235" spans="1:12" s="36" customFormat="1" ht="272">
      <c r="A235" s="25" t="str">
        <f>'IT Accessibility'!$A$28</f>
        <v>ITAC-09</v>
      </c>
      <c r="B235" s="26" t="str">
        <f>VLOOKUP($A235,'IT Accessibility'!$A$13:$E$37,2,0)&amp;""</f>
        <v>Do you have a documented and implemented process for reporting and tracking accessibility issues?*</v>
      </c>
      <c r="C235" s="52" t="str">
        <f>VLOOKUP($A235,'IT Accessibility'!$A$13:$E$37,3,0)&amp;""</f>
        <v>No</v>
      </c>
      <c r="D235" s="41" t="str">
        <f>IF(LEFT(VLOOKUP($A235,'IT Accessibility'!$A$13:$E$37,5,0),21)='Auto Responses'!$A$73,'Auto Responses'!$A$74,VLOOKUP($A235,'IT Accessibility'!$A$13:$E$37,4,0))&amp;""</f>
        <v xml:space="preserve">Terms and conditions include email address to report issues. ASC is a small business with a limited user population (20–50 per department). To date, no accessibility issues have been reported. Users report software concerns directly by phone, email, or text, and ASC addresses them immediately in software updates, if the concern is a bug.  </v>
      </c>
      <c r="E235" s="353" t="str">
        <f>VLOOKUP($A235,'IT Accessibility'!$A$13:$E$37,5,0)&amp;""</f>
        <v>State how users should report accessibility issues. Describe any expected related process updates.</v>
      </c>
      <c r="F235" s="202"/>
      <c r="G235" s="37" t="str">
        <f>VLOOKUP($A235,Questions!$A$2:$X$333,21,0)&amp;""</f>
        <v>Yes</v>
      </c>
      <c r="H235" s="192"/>
      <c r="I235" s="52" t="str">
        <f>VLOOKUP($A235,Questions!$A$2:$X$333,23,0)&amp;""</f>
        <v>Critical Importance</v>
      </c>
      <c r="J235" s="192"/>
      <c r="K235" s="55" t="b">
        <v>0</v>
      </c>
      <c r="L235" s="1"/>
    </row>
    <row r="236" spans="1:12" s="36" customFormat="1" ht="153">
      <c r="A236" s="25" t="str">
        <f>'IT Accessibility'!$A$29</f>
        <v>ITAC-10</v>
      </c>
      <c r="B236" s="26" t="str">
        <f>VLOOKUP($A236,'IT Accessibility'!$A$13:$E$37,2,0)&amp;""</f>
        <v>Do you have documentation to support the accessibility features of your solution?</v>
      </c>
      <c r="C236" s="52" t="str">
        <f>VLOOKUP($A236,'IT Accessibility'!$A$13:$E$37,3,0)&amp;""</f>
        <v>yes</v>
      </c>
      <c r="D236" s="41" t="str">
        <f>IF(LEFT(VLOOKUP($A236,'IT Accessibility'!$A$13:$E$37,5,0),21)='Auto Responses'!$A$73,'Auto Responses'!$A$74,VLOOKUP($A236,'IT Accessibility'!$A$13:$E$37,4,0))&amp;""</f>
        <v>We have a detailed user guide with a table of contents with screenshots.  https://www.americassoftware.com/taleval?pgid=lyje7adk-bfcf2cad-d8c3-4ce9-a803-2e66ff7da335</v>
      </c>
      <c r="E236" s="353" t="str">
        <f>VLOOKUP($A236,'IT Accessibility'!$A$13:$E$37,5,0)&amp;""</f>
        <v>Provide examples with links where possible.</v>
      </c>
      <c r="F236" s="202"/>
      <c r="G236" s="37" t="str">
        <f>VLOOKUP($A236,Questions!$A$2:$X$333,21,0)&amp;""</f>
        <v>Yes</v>
      </c>
      <c r="H236" s="192"/>
      <c r="I236" s="52" t="str">
        <f>VLOOKUP($A236,Questions!$A$2:$X$333,23,0)&amp;""</f>
        <v>Standard Importance</v>
      </c>
      <c r="J236" s="192"/>
      <c r="K236" s="55" t="b">
        <v>0</v>
      </c>
      <c r="L236" s="1"/>
    </row>
    <row r="237" spans="1:12" s="36" customFormat="1" ht="102">
      <c r="A237" s="25" t="str">
        <f>'IT Accessibility'!$A$30</f>
        <v>ITAC-11</v>
      </c>
      <c r="B237" s="26" t="str">
        <f>VLOOKUP($A237,'IT Accessibility'!$A$13:$E$37,2,0)&amp;""</f>
        <v>Has a third-party expert conducted an audit of the most recent version of your solution?</v>
      </c>
      <c r="C237" s="52" t="str">
        <f>VLOOKUP($A237,'IT Accessibility'!$A$13:$E$37,3,0)&amp;""</f>
        <v>Yes</v>
      </c>
      <c r="D237" s="41" t="str">
        <f>IF(LEFT(VLOOKUP($A237,'IT Accessibility'!$A$13:$E$37,5,0),21)='Auto Responses'!$A$73,'Auto Responses'!$A$74,VLOOKUP($A237,'IT Accessibility'!$A$13:$E$37,4,0))&amp;""</f>
        <v>Accessible Path Solutions -June 2026</v>
      </c>
      <c r="E237" s="353" t="str">
        <f>VLOOKUP($A237,'IT Accessibility'!$A$13:$E$37,5,0)&amp;""</f>
        <v>State when the audit was conducted and by whom. Include the results in your submission and/or link to its web location.</v>
      </c>
      <c r="F237" s="202"/>
      <c r="G237" s="37" t="str">
        <f>VLOOKUP($A237,Questions!$A$2:$X$333,21,0)&amp;""</f>
        <v>Yes</v>
      </c>
      <c r="H237" s="192"/>
      <c r="I237" s="52" t="str">
        <f>VLOOKUP($A237,Questions!$A$2:$X$333,23,0)&amp;""</f>
        <v>Standard Importance</v>
      </c>
      <c r="J237" s="192"/>
      <c r="K237" s="55" t="b">
        <v>0</v>
      </c>
      <c r="L237" s="1"/>
    </row>
    <row r="238" spans="1:12" s="36" customFormat="1" ht="255">
      <c r="A238" s="25" t="str">
        <f>'IT Accessibility'!$A$31</f>
        <v>ITAC-12</v>
      </c>
      <c r="B238" s="26" t="str">
        <f>VLOOKUP($A238,'IT Accessibility'!$A$13:$E$37,2,0)&amp;""</f>
        <v>Do you have a documented and implemented process for verifying accessibility conformance?</v>
      </c>
      <c r="C238" s="52" t="str">
        <f>VLOOKUP($A238,'IT Accessibility'!$A$13:$E$37,3,0)&amp;""</f>
        <v>No</v>
      </c>
      <c r="D238" s="41" t="str">
        <f>IF(LEFT(VLOOKUP($A238,'IT Accessibility'!$A$13:$E$37,5,0),21)='Auto Responses'!$A$73,'Auto Responses'!$A$74,VLOOKUP($A238,'IT Accessibility'!$A$13:$E$37,4,0))&amp;""</f>
        <v>ASC is a small business with a focused user base. While a formal documented verification process is not in place, accessibility is checked during development using automated scans (contrast, font scaling, keyboard navigation) and manual review. Future plans include adopting a lightweight verification procedure for each new release</v>
      </c>
      <c r="E238" s="353" t="str">
        <f>VLOOKUP($A238,'IT Accessibility'!$A$13:$E$37,5,0)&amp;""</f>
        <v>Summarize how you ensure accessible solutions. Provide plans to develop documented processes to validate accessibility.</v>
      </c>
      <c r="F238" s="202"/>
      <c r="G238" s="37" t="str">
        <f>VLOOKUP($A238,Questions!$A$2:$X$333,21,0)&amp;""</f>
        <v>Yes</v>
      </c>
      <c r="H238" s="192"/>
      <c r="I238" s="52" t="str">
        <f>VLOOKUP($A238,Questions!$A$2:$X$333,23,0)&amp;""</f>
        <v>Standard Importance</v>
      </c>
      <c r="J238" s="192"/>
      <c r="K238" s="55" t="b">
        <v>0</v>
      </c>
      <c r="L238" s="1"/>
    </row>
    <row r="239" spans="1:12" s="36" customFormat="1" ht="255">
      <c r="A239" s="25" t="str">
        <f>'IT Accessibility'!$A$32</f>
        <v>ITAC-13</v>
      </c>
      <c r="B239" s="26" t="str">
        <f>VLOOKUP($A239,'IT Accessibility'!$A$13:$E$37,2,0)&amp;""</f>
        <v>Have you adopted a technical or legal standard of conformance for the solution?</v>
      </c>
      <c r="C239" s="52" t="str">
        <f>VLOOKUP($A239,'IT Accessibility'!$A$13:$E$37,3,0)&amp;""</f>
        <v>yes</v>
      </c>
      <c r="D239" s="41" t="str">
        <f>IF(LEFT(VLOOKUP($A239,'IT Accessibility'!$A$13:$E$37,5,0),21)='Auto Responses'!$A$73,'Auto Responses'!$A$74,VLOOKUP($A239,'IT Accessibility'!$A$13:$E$37,4,0))&amp;""</f>
        <v>ASC has adopted WCAG 2.1/2.2 and Section 508 as the accessibility standards of conformance. Accessibility features such as color contrast, keyboard navigation, and scalable fonts are tested against these criteria. A VPAT 2.5 Accessibility Conformance Report is provided to document compliance.</v>
      </c>
      <c r="E239" s="353" t="str">
        <f>VLOOKUP($A239,'IT Accessibility'!$A$13:$E$37,5,0)&amp;""</f>
        <v>Indicate which primary standards and all additional standards the solution meets.</v>
      </c>
      <c r="F239" s="202"/>
      <c r="G239" s="37" t="str">
        <f>VLOOKUP($A239,Questions!$A$2:$X$333,21,0)&amp;""</f>
        <v>Yes</v>
      </c>
      <c r="H239" s="192"/>
      <c r="I239" s="52" t="str">
        <f>VLOOKUP($A239,Questions!$A$2:$X$333,23,0)&amp;""</f>
        <v>Standard Importance</v>
      </c>
      <c r="J239" s="192"/>
      <c r="K239" s="55" t="b">
        <v>0</v>
      </c>
      <c r="L239" s="1"/>
    </row>
    <row r="240" spans="1:12" s="36" customFormat="1" ht="372">
      <c r="A240" s="25" t="str">
        <f>'IT Accessibility'!$A$33</f>
        <v>ITAC-14</v>
      </c>
      <c r="B240" s="26" t="str">
        <f>VLOOKUP($A240,'IT Accessibility'!$A$13:$E$37,2,0)&amp;""</f>
        <v>Can you provide a current, detailed accessibility roadmap with delivery timelines?</v>
      </c>
      <c r="C240" s="52" t="str">
        <f>VLOOKUP($A240,'IT Accessibility'!$A$13:$E$37,3,0)&amp;""</f>
        <v>No</v>
      </c>
      <c r="D240" s="41" t="str">
        <f>IF(LEFT(VLOOKUP($A240,'IT Accessibility'!$A$13:$E$37,5,0),21)='Auto Responses'!$A$73,'Auto Responses'!$A$74,VLOOKUP($A240,'IT Accessibility'!$A$13:$E$37,4,0))&amp;""</f>
        <v>ASC is a small business serving limited departmental use (20–50 users). A formal accessibility roadmap with delivery timelines has not been published. However, accessibility improvements are incorporated as part of ongoing development. For example, ASC has previously enhanced contrast/color schemes, font scalability, and keyboard navigation, and will continue to integrate accessibility best practices during the upcoming full rewrite. Accessibility is a priority in each release cycle.</v>
      </c>
      <c r="E240" s="353" t="str">
        <f>VLOOKUP($A240,'IT Accessibility'!$A$13:$E$37,5,0)&amp;""</f>
        <v>Please provide any plans to develop and share an accessibility roadmap in the future.</v>
      </c>
      <c r="F240" s="202"/>
      <c r="G240" s="37" t="str">
        <f>VLOOKUP($A240,Questions!$A$2:$X$333,21,0)&amp;""</f>
        <v>Yes</v>
      </c>
      <c r="H240" s="192"/>
      <c r="I240" s="52" t="str">
        <f>VLOOKUP($A240,Questions!$A$2:$X$333,23,0)&amp;""</f>
        <v>Standard Importance</v>
      </c>
      <c r="J240" s="192"/>
      <c r="K240" s="55" t="b">
        <v>0</v>
      </c>
      <c r="L240" s="1"/>
    </row>
    <row r="241" spans="1:12" s="36" customFormat="1" ht="289">
      <c r="A241" s="25" t="str">
        <f>'IT Accessibility'!$A$34</f>
        <v>ITAC-15</v>
      </c>
      <c r="B241" s="26" t="str">
        <f>VLOOKUP($A241,'IT Accessibility'!$A$13:$E$37,2,0)&amp;""</f>
        <v>Do you expect your staff to maintain a current skill set in IT accessibility?</v>
      </c>
      <c r="C241" s="52" t="str">
        <f>VLOOKUP($A241,'IT Accessibility'!$A$13:$E$37,3,0)&amp;""</f>
        <v>yes</v>
      </c>
      <c r="D241" s="41" t="str">
        <f>IF(LEFT(VLOOKUP($A241,'IT Accessibility'!$A$13:$E$37,5,0),21)='Auto Responses'!$A$73,'Auto Responses'!$A$74,VLOOKUP($A241,'IT Accessibility'!$A$13:$E$37,4,0))&amp;""</f>
        <v>ASC does not operate a formal staff training program due to its small business model having one remote  IT contractor, accessibility awareness is maintained directly by the company’s owner and contractors. This ensures that TalEval and Discovery Pro continue to evolve with accessibility best practices in mind, consistent with WCAG and Section 508 requirements.</v>
      </c>
      <c r="E241" s="353" t="str">
        <f>VLOOKUP($A241,'IT Accessibility'!$A$13:$E$37,5,0)&amp;""</f>
        <v>Provide any further relevant information about how expertise is maintained; include any accessibility certifications staff may hold (e.g., IAAP WAS &lt;https://www.accessibilityassociation.org/certifications&gt; or DHS Trusted Tester &lt;https://section508.gov/test/trusted-tester&gt;).</v>
      </c>
      <c r="F241" s="202"/>
      <c r="G241" s="37" t="str">
        <f>VLOOKUP($A241,Questions!$A$2:$X$333,21,0)&amp;""</f>
        <v>Yes</v>
      </c>
      <c r="H241" s="192"/>
      <c r="I241" s="52" t="str">
        <f>VLOOKUP($A241,Questions!$A$2:$X$333,23,0)&amp;""</f>
        <v>Standard Importance</v>
      </c>
      <c r="J241" s="192"/>
      <c r="K241" s="55" t="b">
        <v>0</v>
      </c>
      <c r="L241" s="1"/>
    </row>
    <row r="242" spans="1:12" s="36" customFormat="1" ht="85">
      <c r="A242" s="25" t="str">
        <f>'IT Accessibility'!$A$35</f>
        <v>ITAC-16</v>
      </c>
      <c r="B242" s="26" t="str">
        <f>VLOOKUP($A242,'IT Accessibility'!$A$13:$E$37,2,0)&amp;""</f>
        <v>Do you have documented processes and procedures for implementing accessibility into your development lifecycle?</v>
      </c>
      <c r="C242" s="52" t="str">
        <f>VLOOKUP($A242,'IT Accessibility'!$A$13:$E$37,3,0)&amp;""</f>
        <v>yes</v>
      </c>
      <c r="D242" s="41" t="str">
        <f>IF(LEFT(VLOOKUP($A242,'IT Accessibility'!$A$13:$E$37,5,0),21)='Auto Responses'!$A$73,'Auto Responses'!$A$74,VLOOKUP($A242,'IT Accessibility'!$A$13:$E$37,4,0))&amp;""</f>
        <v>https://www.americassoftware.com/training-videos?pgid=kovk98ip-ed593369-4e02-43c4-b3aa-aa0dba550c57</v>
      </c>
      <c r="E242" s="353" t="str">
        <f>VLOOKUP($A242,'IT Accessibility'!$A$13:$E$37,5,0)&amp;""</f>
        <v>Provide further details in Additional Information.</v>
      </c>
      <c r="F242" s="202"/>
      <c r="G242" s="37" t="str">
        <f>VLOOKUP($A242,Questions!$A$2:$X$333,21,0)&amp;""</f>
        <v>Yes</v>
      </c>
      <c r="H242" s="192"/>
      <c r="I242" s="52" t="str">
        <f>VLOOKUP($A242,Questions!$A$2:$X$333,23,0)&amp;""</f>
        <v>Standard Importance</v>
      </c>
      <c r="J242" s="192"/>
      <c r="K242" s="55" t="b">
        <v>0</v>
      </c>
      <c r="L242" s="1"/>
    </row>
    <row r="243" spans="1:12" s="36" customFormat="1" ht="85">
      <c r="A243" s="25" t="str">
        <f>'IT Accessibility'!$A$36</f>
        <v>ITAC-17</v>
      </c>
      <c r="B243" s="26" t="str">
        <f>VLOOKUP($A243,'IT Accessibility'!$A$13:$E$37,2,0)&amp;""</f>
        <v>Can all functions of the application or service be performed using only the keyboard?</v>
      </c>
      <c r="C243" s="52" t="str">
        <f>VLOOKUP($A243,'IT Accessibility'!$A$13:$E$37,3,0)&amp;""</f>
        <v>Yes</v>
      </c>
      <c r="D243" s="41" t="str">
        <f>IF(LEFT(VLOOKUP($A243,'IT Accessibility'!$A$13:$E$37,5,0),21)='Auto Responses'!$A$73,'Auto Responses'!$A$74,VLOOKUP($A243,'IT Accessibility'!$A$13:$E$37,4,0))&amp;""</f>
        <v>We only have one platform.  Taleval.com.  Taleval went web-based in 2001.  That's 24 years of verification.</v>
      </c>
      <c r="E243" s="353" t="str">
        <f>VLOOKUP($A243,'IT Accessibility'!$A$13:$E$37,5,0)&amp;""</f>
        <v>State when and on which platform this was verified.</v>
      </c>
      <c r="F243" s="202"/>
      <c r="G243" s="37" t="str">
        <f>VLOOKUP($A243,Questions!$A$2:$X$333,21,0)&amp;""</f>
        <v>Yes</v>
      </c>
      <c r="H243" s="192"/>
      <c r="I243" s="52" t="str">
        <f>VLOOKUP($A243,Questions!$A$2:$X$333,23,0)&amp;""</f>
        <v>Standard Importance</v>
      </c>
      <c r="J243" s="192"/>
      <c r="K243" s="55" t="b">
        <v>0</v>
      </c>
      <c r="L243" s="1"/>
    </row>
    <row r="244" spans="1:12" s="36" customFormat="1" ht="46" thickBot="1">
      <c r="A244" s="25" t="str">
        <f>'IT Accessibility'!$A$37</f>
        <v>ITAC-18</v>
      </c>
      <c r="B244" s="26" t="str">
        <f>VLOOKUP($A244,'IT Accessibility'!$A$13:$E$37,2,0)&amp;""</f>
        <v>Does your product rely on activating a special "accessibility mode," a "lite version," or using an alternate interface (including “overlay” or AI-based alternates)  for accessibility purposes?</v>
      </c>
      <c r="C244" s="52" t="str">
        <f>VLOOKUP($A244,'IT Accessibility'!$A$13:$E$37,3,0)&amp;""</f>
        <v>No</v>
      </c>
      <c r="D244" s="41" t="str">
        <f>IF(LEFT(VLOOKUP($A244,'IT Accessibility'!$A$13:$E$37,5,0),21)='Auto Responses'!$A$73,'Auto Responses'!$A$74,VLOOKUP($A244,'IT Accessibility'!$A$13:$E$37,4,0))&amp;""</f>
        <v/>
      </c>
      <c r="E244" s="353" t="str">
        <f>VLOOKUP($A244,'IT Accessibility'!$A$13:$E$37,5,0)&amp;""</f>
        <v/>
      </c>
      <c r="F244" s="202"/>
      <c r="G244" s="37" t="str">
        <f>VLOOKUP($A244,Questions!$A$2:$X$333,21,0)&amp;""</f>
        <v>No</v>
      </c>
      <c r="H244" s="192"/>
      <c r="I244" s="52" t="str">
        <f>VLOOKUP($A244,Questions!$A$2:$X$333,23,0)&amp;""</f>
        <v>Standard Importance</v>
      </c>
      <c r="J244" s="192"/>
      <c r="K244" s="56" t="b">
        <v>0</v>
      </c>
      <c r="L244" s="1"/>
    </row>
    <row r="245" spans="1:12" s="1" customFormat="1" ht="18">
      <c r="A245" s="70" t="str">
        <f>VLOOKUP(LEFT($A246,4),'Auto Responses'!$N$4:$O$38,2,0)&amp;""</f>
        <v xml:space="preserve"> Consulting Services</v>
      </c>
      <c r="B245" s="29"/>
      <c r="C245" s="38"/>
      <c r="D245" s="38"/>
      <c r="E245" s="351"/>
      <c r="F245" s="139" t="s">
        <v>1089</v>
      </c>
      <c r="G245" s="358" t="s">
        <v>925</v>
      </c>
      <c r="H245" s="358" t="s">
        <v>927</v>
      </c>
      <c r="I245" s="358" t="s">
        <v>19</v>
      </c>
      <c r="J245" s="358" t="s">
        <v>912</v>
      </c>
      <c r="K245" s="38"/>
    </row>
    <row r="246" spans="1:12" s="36" customFormat="1" ht="102">
      <c r="A246" s="25" t="str">
        <f>'Case-Specific'!$A$23</f>
        <v>CONS-01</v>
      </c>
      <c r="B246" s="26" t="str">
        <f>VLOOKUP($A246,'Case-Specific'!$A$13:$E$85,2,0)&amp;""</f>
        <v>Will the consultant require access to the institution's network resources?*</v>
      </c>
      <c r="C246" s="52" t="str">
        <f>VLOOKUP($A246,'Case-Specific'!$A$13:$E$85,3,0)&amp;""</f>
        <v/>
      </c>
      <c r="D246" s="41" t="str">
        <f>IF(LEFT(VLOOKUP($A246,'Case-Specific'!$A$13:$E$85,5,0),21)='Auto Responses'!$A$73,'Auto Responses'!$A$74,VLOOKUP($A246,'Case-Specific'!$A$13:$E$85,4,0))&amp;""</f>
        <v/>
      </c>
      <c r="E246" s="350" t="str">
        <f>VLOOKUP($A246,'Case-Specific'!$A$13:$E$85,5,0)&amp;""</f>
        <v>Based on the response to REQU-03 on the "START HERE" tab, this question does not apply to this product or service.</v>
      </c>
      <c r="F246" s="202"/>
      <c r="G246" s="37" t="str">
        <f>VLOOKUP($A246,Questions!$A$2:$X$333,21,0)&amp;""</f>
        <v>No</v>
      </c>
      <c r="H246" s="192"/>
      <c r="I246" s="52" t="str">
        <f>VLOOKUP($A246,Questions!$A$2:$X$333,23,0)&amp;""</f>
        <v>Critical Importance</v>
      </c>
      <c r="J246" s="192"/>
      <c r="K246" s="55" t="b">
        <v>0</v>
      </c>
      <c r="L246" s="1"/>
    </row>
    <row r="247" spans="1:12" s="36" customFormat="1" ht="102">
      <c r="A247" s="25" t="str">
        <f>'Case-Specific'!$A$24</f>
        <v>CONS-02</v>
      </c>
      <c r="B247" s="26" t="str">
        <f>VLOOKUP($A247,'Case-Specific'!$A$13:$E$85,2,0)&amp;""</f>
        <v>Has the consultant received training on (sensitive, HIPAA, PCI, etc.) data handling?*</v>
      </c>
      <c r="C247" s="52" t="str">
        <f>VLOOKUP($A247,'Case-Specific'!$A$13:$E$85,3,0)&amp;""</f>
        <v/>
      </c>
      <c r="D247" s="41" t="str">
        <f>IF(LEFT(VLOOKUP($A247,'Case-Specific'!$A$13:$E$85,5,0),21)='Auto Responses'!$A$73,'Auto Responses'!$A$74,VLOOKUP($A247,'Case-Specific'!$A$13:$E$85,4,0))&amp;""</f>
        <v/>
      </c>
      <c r="E247" s="350" t="str">
        <f>VLOOKUP($A247,'Case-Specific'!$A$13:$E$85,5,0)&amp;""</f>
        <v>Based on the response to REQU-03 on the "START HERE" tab, this question does not apply to this product or service.</v>
      </c>
      <c r="F247" s="202"/>
      <c r="G247" s="37" t="str">
        <f>VLOOKUP($A247,Questions!$A$2:$X$333,21,0)&amp;""</f>
        <v>Yes</v>
      </c>
      <c r="H247" s="192"/>
      <c r="I247" s="52" t="str">
        <f>VLOOKUP($A247,Questions!$A$2:$X$333,23,0)&amp;""</f>
        <v>Critical Importance</v>
      </c>
      <c r="J247" s="192"/>
      <c r="K247" s="55" t="b">
        <v>0</v>
      </c>
      <c r="L247" s="1"/>
    </row>
    <row r="248" spans="1:12" s="36" customFormat="1" ht="102">
      <c r="A248" s="25" t="str">
        <f>'Case-Specific'!$A$25</f>
        <v>CONS-03</v>
      </c>
      <c r="B248" s="26" t="str">
        <f>VLOOKUP($A248,'Case-Specific'!$A$13:$E$85,2,0)&amp;""</f>
        <v>Is the data encrypted (at rest) while in the consultant's possession?*</v>
      </c>
      <c r="C248" s="52" t="str">
        <f>VLOOKUP($A248,'Case-Specific'!$A$13:$E$85,3,0)&amp;""</f>
        <v/>
      </c>
      <c r="D248" s="41" t="str">
        <f>IF(LEFT(VLOOKUP($A248,'Case-Specific'!$A$13:$E$85,5,0),21)='Auto Responses'!$A$73,'Auto Responses'!$A$74,VLOOKUP($A248,'Case-Specific'!$A$13:$E$85,4,0))&amp;""</f>
        <v/>
      </c>
      <c r="E248" s="350" t="str">
        <f>VLOOKUP($A248,'Case-Specific'!$A$13:$E$85,5,0)&amp;""</f>
        <v>Based on the response to REQU-03 on the "START HERE" tab, this question does not apply to this product or service.</v>
      </c>
      <c r="F248" s="202"/>
      <c r="G248" s="37" t="str">
        <f>VLOOKUP($A248,Questions!$A$2:$X$333,21,0)&amp;""</f>
        <v>Yes</v>
      </c>
      <c r="H248" s="192"/>
      <c r="I248" s="52" t="str">
        <f>VLOOKUP($A248,Questions!$A$2:$X$333,23,0)&amp;""</f>
        <v>Critical Importance</v>
      </c>
      <c r="J248" s="192"/>
      <c r="K248" s="55" t="b">
        <v>0</v>
      </c>
      <c r="L248" s="1"/>
    </row>
    <row r="249" spans="1:12" s="36" customFormat="1" ht="102">
      <c r="A249" s="25" t="str">
        <f>'Case-Specific'!A25</f>
        <v>CONS-03</v>
      </c>
      <c r="B249" s="26" t="str">
        <f>VLOOKUP($A249,'Case-Specific'!$A$13:$E$85,2,0)&amp;""</f>
        <v>Is the data encrypted (at rest) while in the consultant's possession?*</v>
      </c>
      <c r="C249" s="52" t="str">
        <f>VLOOKUP($A249,'Case-Specific'!$A$13:$E$85,3,0)&amp;""</f>
        <v/>
      </c>
      <c r="D249" s="41" t="str">
        <f>IF(LEFT(VLOOKUP($A249,'Case-Specific'!$A$13:$E$85,5,0),21)='Auto Responses'!$A$73,'Auto Responses'!$A$74,VLOOKUP($A249,'Case-Specific'!$A$13:$E$85,4,0))&amp;""</f>
        <v/>
      </c>
      <c r="E249" s="350" t="str">
        <f>VLOOKUP($A249,'Case-Specific'!$A$13:$E$85,5,0)&amp;""</f>
        <v>Based on the response to REQU-03 on the "START HERE" tab, this question does not apply to this product or service.</v>
      </c>
      <c r="F249" s="202"/>
      <c r="G249" s="37" t="str">
        <f>VLOOKUP($A249,Questions!$A$2:$X$333,21,0)&amp;""</f>
        <v>Yes</v>
      </c>
      <c r="H249" s="192"/>
      <c r="I249" s="52" t="str">
        <f>VLOOKUP($A249,Questions!$A$2:$X$333,23,0)&amp;""</f>
        <v>Critical Importance</v>
      </c>
      <c r="J249" s="192"/>
      <c r="K249" s="55" t="b">
        <v>0</v>
      </c>
      <c r="L249" s="1"/>
    </row>
    <row r="250" spans="1:12" s="36" customFormat="1" ht="102">
      <c r="A250" s="25" t="str">
        <f>'Case-Specific'!A26</f>
        <v>CONS-04</v>
      </c>
      <c r="B250" s="26" t="str">
        <f>VLOOKUP($A250,'Case-Specific'!$A$13:$E$85,2,0)&amp;""</f>
        <v>Can access be restricted based on source IP address?*</v>
      </c>
      <c r="C250" s="52" t="str">
        <f>VLOOKUP($A250,'Case-Specific'!$A$13:$E$85,3,0)&amp;""</f>
        <v/>
      </c>
      <c r="D250" s="41" t="str">
        <f>IF(LEFT(VLOOKUP($A250,'Case-Specific'!$A$13:$E$85,5,0),21)='Auto Responses'!$A$73,'Auto Responses'!$A$74,VLOOKUP($A250,'Case-Specific'!$A$13:$E$85,4,0))&amp;""</f>
        <v/>
      </c>
      <c r="E250" s="350" t="str">
        <f>VLOOKUP($A250,'Case-Specific'!$A$13:$E$85,5,0)&amp;""</f>
        <v>Based on the response to REQU-03 on the "START HERE" tab, this question does not apply to this product or service.</v>
      </c>
      <c r="F250" s="202"/>
      <c r="G250" s="37" t="str">
        <f>VLOOKUP($A250,Questions!$A$2:$X$333,21,0)&amp;""</f>
        <v>Yes</v>
      </c>
      <c r="H250" s="192"/>
      <c r="I250" s="52" t="str">
        <f>VLOOKUP($A250,Questions!$A$2:$X$333,23,0)&amp;""</f>
        <v>Critical Importance</v>
      </c>
      <c r="J250" s="192"/>
      <c r="K250" s="55" t="b">
        <v>0</v>
      </c>
      <c r="L250" s="1"/>
    </row>
    <row r="251" spans="1:12" s="36" customFormat="1" ht="102">
      <c r="A251" s="25" t="str">
        <f>'Case-Specific'!A27</f>
        <v>CONS-05</v>
      </c>
      <c r="B251" s="26" t="str">
        <f>VLOOKUP($A251,'Case-Specific'!$A$13:$E$85,2,0)&amp;""</f>
        <v>Will the consulting take place on-premises?</v>
      </c>
      <c r="C251" s="52" t="str">
        <f>VLOOKUP($A251,'Case-Specific'!$A$13:$E$85,3,0)&amp;""</f>
        <v/>
      </c>
      <c r="D251" s="41" t="str">
        <f>IF(LEFT(VLOOKUP($A251,'Case-Specific'!$A$13:$E$85,5,0),21)='Auto Responses'!$A$73,'Auto Responses'!$A$74,VLOOKUP($A251,'Case-Specific'!$A$13:$E$85,4,0))&amp;""</f>
        <v/>
      </c>
      <c r="E251" s="350" t="str">
        <f>VLOOKUP($A251,'Case-Specific'!$A$13:$E$85,5,0)&amp;""</f>
        <v>Based on the response to REQU-03 on the "START HERE" tab, this question does not apply to this product or service.</v>
      </c>
      <c r="F251" s="202"/>
      <c r="G251" s="37" t="str">
        <f>VLOOKUP($A251,Questions!$A$2:$X$333,21,0)&amp;""</f>
        <v>No</v>
      </c>
      <c r="H251" s="192"/>
      <c r="I251" s="52" t="str">
        <f>VLOOKUP($A251,Questions!$A$2:$X$333,23,0)&amp;""</f>
        <v>Standard Importance</v>
      </c>
      <c r="J251" s="192"/>
      <c r="K251" s="55" t="b">
        <v>0</v>
      </c>
      <c r="L251" s="1"/>
    </row>
    <row r="252" spans="1:12" s="36" customFormat="1" ht="102">
      <c r="A252" s="25" t="str">
        <f>'Case-Specific'!A28</f>
        <v>CONS-06</v>
      </c>
      <c r="B252" s="26" t="str">
        <f>VLOOKUP($A252,'Case-Specific'!$A$13:$E$85,2,0)&amp;""</f>
        <v>Will the consultant require access to hardware in the institution's data centers?</v>
      </c>
      <c r="C252" s="52" t="str">
        <f>VLOOKUP($A252,'Case-Specific'!$A$13:$E$85,3,0)&amp;""</f>
        <v/>
      </c>
      <c r="D252" s="41" t="str">
        <f>IF(LEFT(VLOOKUP($A252,'Case-Specific'!$A$13:$E$85,5,0),21)='Auto Responses'!$A$73,'Auto Responses'!$A$74,VLOOKUP($A252,'Case-Specific'!$A$13:$E$85,4,0))&amp;""</f>
        <v/>
      </c>
      <c r="E252" s="350" t="str">
        <f>VLOOKUP($A252,'Case-Specific'!$A$13:$E$85,5,0)&amp;""</f>
        <v>Based on the response to REQU-03 on the "START HERE" tab, this question does not apply to this product or service.</v>
      </c>
      <c r="F252" s="202"/>
      <c r="G252" s="37" t="str">
        <f>VLOOKUP($A252,Questions!$A$2:$X$333,21,0)&amp;""</f>
        <v>No</v>
      </c>
      <c r="H252" s="192"/>
      <c r="I252" s="52" t="str">
        <f>VLOOKUP($A252,Questions!$A$2:$X$333,23,0)&amp;""</f>
        <v>Standard Importance</v>
      </c>
      <c r="J252" s="192"/>
      <c r="K252" s="55" t="b">
        <v>0</v>
      </c>
      <c r="L252" s="1"/>
    </row>
    <row r="253" spans="1:12" s="36" customFormat="1" ht="102">
      <c r="A253" s="25" t="str">
        <f>'Case-Specific'!A29</f>
        <v>CONS-07</v>
      </c>
      <c r="B253" s="26" t="str">
        <f>VLOOKUP($A253,'Case-Specific'!$A$13:$E$85,2,0)&amp;""</f>
        <v>Will the consultant require an account within the institution's domain (@*.edu)?</v>
      </c>
      <c r="C253" s="52" t="str">
        <f>VLOOKUP($A253,'Case-Specific'!$A$13:$E$85,3,0)&amp;""</f>
        <v/>
      </c>
      <c r="D253" s="41" t="str">
        <f>IF(LEFT(VLOOKUP($A253,'Case-Specific'!$A$13:$E$85,5,0),21)='Auto Responses'!$A$73,'Auto Responses'!$A$74,VLOOKUP($A253,'Case-Specific'!$A$13:$E$85,4,0))&amp;""</f>
        <v/>
      </c>
      <c r="E253" s="350" t="str">
        <f>VLOOKUP($A253,'Case-Specific'!$A$13:$E$85,5,0)&amp;""</f>
        <v>Based on the response to REQU-03 on the "START HERE" tab, this question does not apply to this product or service.</v>
      </c>
      <c r="F253" s="202"/>
      <c r="G253" s="37" t="str">
        <f>VLOOKUP($A253,Questions!$A$2:$X$333,21,0)&amp;""</f>
        <v>No</v>
      </c>
      <c r="H253" s="192"/>
      <c r="I253" s="52" t="str">
        <f>VLOOKUP($A253,Questions!$A$2:$X$333,23,0)&amp;""</f>
        <v>Standard Importance</v>
      </c>
      <c r="J253" s="192"/>
      <c r="K253" s="55" t="b">
        <v>0</v>
      </c>
      <c r="L253" s="1"/>
    </row>
    <row r="254" spans="1:12" s="36" customFormat="1" ht="102">
      <c r="A254" s="25" t="str">
        <f>'Case-Specific'!A30</f>
        <v>CONS-08</v>
      </c>
      <c r="B254" s="26" t="str">
        <f>VLOOKUP($A254,'Case-Specific'!$A$13:$E$85,2,0)&amp;""</f>
        <v>Will any data be transferred to the consultant's possession?</v>
      </c>
      <c r="C254" s="52" t="str">
        <f>VLOOKUP($A254,'Case-Specific'!$A$13:$E$85,3,0)&amp;""</f>
        <v/>
      </c>
      <c r="D254" s="41" t="str">
        <f>IF(LEFT(VLOOKUP($A254,'Case-Specific'!$A$13:$E$85,5,0),21)='Auto Responses'!$A$73,'Auto Responses'!$A$74,VLOOKUP($A254,'Case-Specific'!$A$13:$E$85,4,0))&amp;""</f>
        <v/>
      </c>
      <c r="E254" s="350" t="str">
        <f>VLOOKUP($A254,'Case-Specific'!$A$13:$E$85,5,0)&amp;""</f>
        <v>Based on the response to REQU-03 on the "START HERE" tab, this question does not apply to this product or service.</v>
      </c>
      <c r="F254" s="202"/>
      <c r="G254" s="37" t="str">
        <f>VLOOKUP($A254,Questions!$A$2:$X$333,21,0)&amp;""</f>
        <v>No</v>
      </c>
      <c r="H254" s="192"/>
      <c r="I254" s="52" t="str">
        <f>VLOOKUP($A254,Questions!$A$2:$X$333,23,0)&amp;""</f>
        <v>Standard Importance</v>
      </c>
      <c r="J254" s="192"/>
      <c r="K254" s="55" t="b">
        <v>0</v>
      </c>
      <c r="L254" s="1"/>
    </row>
    <row r="255" spans="1:12" s="36" customFormat="1" ht="102">
      <c r="A255" s="25" t="str">
        <f>'Case-Specific'!A31</f>
        <v>CONS-09</v>
      </c>
      <c r="B255" s="26" t="str">
        <f>VLOOKUP($A255,'Case-Specific'!$A$13:$E$85,2,0)&amp;""</f>
        <v>Will the consultant need remote access to the institution's network or systems?</v>
      </c>
      <c r="C255" s="52" t="str">
        <f>VLOOKUP($A255,'Case-Specific'!$A$13:$E$85,3,0)&amp;""</f>
        <v/>
      </c>
      <c r="D255" s="41" t="str">
        <f>IF(LEFT(VLOOKUP($A255,'Case-Specific'!$A$13:$E$85,5,0),21)='Auto Responses'!$A$73,'Auto Responses'!$A$74,VLOOKUP($A255,'Case-Specific'!$A$13:$E$85,4,0))&amp;""</f>
        <v/>
      </c>
      <c r="E255" s="350" t="str">
        <f>VLOOKUP($A255,'Case-Specific'!$A$13:$E$85,5,0)&amp;""</f>
        <v>Based on the response to REQU-03 on the "START HERE" tab, this question does not apply to this product or service.</v>
      </c>
      <c r="F255" s="202"/>
      <c r="G255" s="37" t="str">
        <f>VLOOKUP($A255,Questions!$A$2:$X$333,21,0)&amp;""</f>
        <v>No</v>
      </c>
      <c r="H255" s="192"/>
      <c r="I255" s="52" t="str">
        <f>VLOOKUP($A255,Questions!$A$2:$X$333,23,0)&amp;""</f>
        <v>Standard Importance</v>
      </c>
      <c r="J255" s="192"/>
      <c r="K255" s="55" t="b">
        <v>0</v>
      </c>
      <c r="L255" s="1"/>
    </row>
    <row r="256" spans="1:12" s="1" customFormat="1" ht="18">
      <c r="A256" s="70" t="str">
        <f>VLOOKUP(LEFT($A257,4),'Auto Responses'!$N$4:$O$38,2,0)&amp;""</f>
        <v xml:space="preserve">HIPAA Compliance </v>
      </c>
      <c r="B256" s="29"/>
      <c r="C256" s="38"/>
      <c r="D256" s="38"/>
      <c r="E256" s="351"/>
      <c r="F256" s="139" t="s">
        <v>1089</v>
      </c>
      <c r="G256" s="358" t="s">
        <v>925</v>
      </c>
      <c r="H256" s="358" t="s">
        <v>927</v>
      </c>
      <c r="I256" s="358" t="s">
        <v>19</v>
      </c>
      <c r="J256" s="358" t="s">
        <v>912</v>
      </c>
      <c r="K256" s="38"/>
    </row>
    <row r="257" spans="1:12" s="36" customFormat="1" ht="102">
      <c r="A257" s="25" t="str">
        <f>'Case-Specific'!A33</f>
        <v>HIPA-01</v>
      </c>
      <c r="B257" s="26" t="str">
        <f>VLOOKUP($A257,'Case-Specific'!$A$13:$E$85,2,0)&amp;""</f>
        <v>Do your workforce members receive regular training related to the Health Insurance Portability and Accountability Act (HIPAA) Privacy and Security Rules and the HITECH Act?*</v>
      </c>
      <c r="C257" s="52" t="str">
        <f>VLOOKUP($A257,'Case-Specific'!$A$13:$E$85,3,0)&amp;""</f>
        <v/>
      </c>
      <c r="D257" s="41" t="str">
        <f>IF(LEFT(VLOOKUP($A257,'Case-Specific'!$A$13:$E$85,5,0),21)='Auto Responses'!$A$73,'Auto Responses'!$A$74,VLOOKUP($A257,'Case-Specific'!$A$13:$E$85,4,0))&amp;""</f>
        <v/>
      </c>
      <c r="E257" s="350" t="str">
        <f>VLOOKUP($A257,'Case-Specific'!$A$13:$E$85,5,0)&amp;""</f>
        <v>Based on the response to REQU-05 on the "START HERE" tab, this question does not apply to this product or service.</v>
      </c>
      <c r="F257" s="202"/>
      <c r="G257" s="37" t="str">
        <f>VLOOKUP($A257,Questions!$A$2:$X$333,21,0)&amp;""</f>
        <v>Yes</v>
      </c>
      <c r="H257" s="192"/>
      <c r="I257" s="52" t="str">
        <f>VLOOKUP($A257,Questions!$A$2:$X$333,23,0)&amp;""</f>
        <v>Critical Importance</v>
      </c>
      <c r="J257" s="192"/>
      <c r="K257" s="55" t="b">
        <v>0</v>
      </c>
      <c r="L257" s="1"/>
    </row>
    <row r="258" spans="1:12" s="36" customFormat="1" ht="102">
      <c r="A258" s="25" t="str">
        <f>'Case-Specific'!A34</f>
        <v>HIPA-02</v>
      </c>
      <c r="B258" s="26" t="str">
        <f>VLOOKUP($A258,'Case-Specific'!$A$13:$E$85,2,0)&amp;""</f>
        <v>Have you identified areas of risk?*</v>
      </c>
      <c r="C258" s="52" t="str">
        <f>VLOOKUP($A258,'Case-Specific'!$A$13:$E$85,3,0)&amp;""</f>
        <v/>
      </c>
      <c r="D258" s="41" t="str">
        <f>IF(LEFT(VLOOKUP($A258,'Case-Specific'!$A$13:$E$85,5,0),21)='Auto Responses'!$A$73,'Auto Responses'!$A$74,VLOOKUP($A258,'Case-Specific'!$A$13:$E$85,4,0))&amp;""</f>
        <v/>
      </c>
      <c r="E258" s="350" t="str">
        <f>VLOOKUP($A258,'Case-Specific'!$A$13:$E$85,5,0)&amp;""</f>
        <v>Based on the response to REQU-05 on the "START HERE" tab, this question does not apply to this product or service.</v>
      </c>
      <c r="F258" s="202"/>
      <c r="G258" s="37" t="str">
        <f>VLOOKUP($A258,Questions!$A$2:$X$333,21,0)&amp;""</f>
        <v>Yes</v>
      </c>
      <c r="H258" s="192"/>
      <c r="I258" s="52" t="str">
        <f>VLOOKUP($A258,Questions!$A$2:$X$333,23,0)&amp;""</f>
        <v>Critical Importance</v>
      </c>
      <c r="J258" s="192"/>
      <c r="K258" s="55" t="b">
        <v>0</v>
      </c>
      <c r="L258" s="1"/>
    </row>
    <row r="259" spans="1:12" s="36" customFormat="1" ht="102">
      <c r="A259" s="25" t="str">
        <f>'Case-Specific'!A35</f>
        <v>HIPA-03</v>
      </c>
      <c r="B259" s="26" t="str">
        <f>VLOOKUP($A259,'Case-Specific'!$A$13:$E$85,2,0)&amp;""</f>
        <v>Have the relevant policies/plans been tested?*</v>
      </c>
      <c r="C259" s="52" t="str">
        <f>VLOOKUP($A259,'Case-Specific'!$A$13:$E$85,3,0)&amp;""</f>
        <v/>
      </c>
      <c r="D259" s="41" t="str">
        <f>IF(LEFT(VLOOKUP($A259,'Case-Specific'!$A$13:$E$85,5,0),21)='Auto Responses'!$A$73,'Auto Responses'!$A$74,VLOOKUP($A259,'Case-Specific'!$A$13:$E$85,4,0))&amp;""</f>
        <v/>
      </c>
      <c r="E259" s="350" t="str">
        <f>VLOOKUP($A259,'Case-Specific'!$A$13:$E$85,5,0)&amp;""</f>
        <v>Based on the response to REQU-05 on the "START HERE" tab, this question does not apply to this product or service.</v>
      </c>
      <c r="F259" s="202"/>
      <c r="G259" s="37" t="str">
        <f>VLOOKUP($A259,Questions!$A$2:$X$333,21,0)&amp;""</f>
        <v>Yes</v>
      </c>
      <c r="H259" s="192"/>
      <c r="I259" s="52" t="str">
        <f>VLOOKUP($A259,Questions!$A$2:$X$333,23,0)&amp;""</f>
        <v>Critical Importance</v>
      </c>
      <c r="J259" s="192"/>
      <c r="K259" s="55" t="b">
        <v>0</v>
      </c>
      <c r="L259" s="1"/>
    </row>
    <row r="260" spans="1:12" s="36" customFormat="1" ht="102">
      <c r="A260" s="25" t="str">
        <f>'Case-Specific'!A36</f>
        <v>HIPA-04</v>
      </c>
      <c r="B260" s="26" t="str">
        <f>VLOOKUP($A260,'Case-Specific'!$A$13:$E$85,2,0)&amp;""</f>
        <v>Have you entered into a Business Associate Agreements with all subcontractors who may have access to protected health information (PHI)?*</v>
      </c>
      <c r="C260" s="52" t="str">
        <f>VLOOKUP($A260,'Case-Specific'!$A$13:$E$85,3,0)&amp;""</f>
        <v/>
      </c>
      <c r="D260" s="41" t="str">
        <f>IF(LEFT(VLOOKUP($A260,'Case-Specific'!$A$13:$E$85,5,0),21)='Auto Responses'!$A$73,'Auto Responses'!$A$74,VLOOKUP($A260,'Case-Specific'!$A$13:$E$85,4,0))&amp;""</f>
        <v/>
      </c>
      <c r="E260" s="350" t="str">
        <f>VLOOKUP($A260,'Case-Specific'!$A$13:$E$85,5,0)&amp;""</f>
        <v>Based on the response to REQU-05 on the "START HERE" tab, this question does not apply to this product or service.</v>
      </c>
      <c r="F260" s="202"/>
      <c r="G260" s="37" t="str">
        <f>VLOOKUP($A260,Questions!$A$2:$X$333,21,0)&amp;""</f>
        <v>Yes</v>
      </c>
      <c r="H260" s="192"/>
      <c r="I260" s="52" t="str">
        <f>VLOOKUP($A260,Questions!$A$2:$X$333,23,0)&amp;""</f>
        <v>Critical Importance</v>
      </c>
      <c r="J260" s="192"/>
      <c r="K260" s="55" t="b">
        <v>0</v>
      </c>
      <c r="L260" s="1"/>
    </row>
    <row r="261" spans="1:12" s="36" customFormat="1" ht="102">
      <c r="A261" s="25" t="str">
        <f>'Case-Specific'!A37</f>
        <v>HIPA-05</v>
      </c>
      <c r="B261" s="26" t="str">
        <f>VLOOKUP($A261,'Case-Specific'!$A$13:$E$85,2,0)&amp;""</f>
        <v>Do you monitor or receive information regarding changes in HIPAA regulations?</v>
      </c>
      <c r="C261" s="52" t="str">
        <f>VLOOKUP($A261,'Case-Specific'!$A$13:$E$85,3,0)&amp;""</f>
        <v/>
      </c>
      <c r="D261" s="41" t="str">
        <f>IF(LEFT(VLOOKUP($A261,'Case-Specific'!$A$13:$E$85,5,0),21)='Auto Responses'!$A$73,'Auto Responses'!$A$74,VLOOKUP($A261,'Case-Specific'!$A$13:$E$85,4,0))&amp;""</f>
        <v/>
      </c>
      <c r="E261" s="350" t="str">
        <f>VLOOKUP($A261,'Case-Specific'!$A$13:$E$85,5,0)&amp;""</f>
        <v>Based on the response to REQU-05 on the "START HERE" tab, this question does not apply to this product or service.</v>
      </c>
      <c r="F261" s="202"/>
      <c r="G261" s="37" t="str">
        <f>VLOOKUP($A261,Questions!$A$2:$X$333,21,0)&amp;""</f>
        <v>Yes</v>
      </c>
      <c r="H261" s="192"/>
      <c r="I261" s="52" t="str">
        <f>VLOOKUP($A261,Questions!$A$2:$X$333,23,0)&amp;""</f>
        <v>Standard Importance</v>
      </c>
      <c r="J261" s="192"/>
      <c r="K261" s="55" t="b">
        <v>0</v>
      </c>
      <c r="L261" s="1"/>
    </row>
    <row r="262" spans="1:12" s="36" customFormat="1" ht="102">
      <c r="A262" s="25" t="str">
        <f>'Case-Specific'!A38</f>
        <v>HIPA-06</v>
      </c>
      <c r="B262" s="26" t="str">
        <f>VLOOKUP($A262,'Case-Specific'!$A$13:$E$85,2,0)&amp;""</f>
        <v>Has your organization designated HIPAA Privacy and Security officers as required by the rules?</v>
      </c>
      <c r="C262" s="52" t="str">
        <f>VLOOKUP($A262,'Case-Specific'!$A$13:$E$85,3,0)&amp;""</f>
        <v/>
      </c>
      <c r="D262" s="41" t="str">
        <f>IF(LEFT(VLOOKUP($A262,'Case-Specific'!$A$13:$E$85,5,0),21)='Auto Responses'!$A$73,'Auto Responses'!$A$74,VLOOKUP($A262,'Case-Specific'!$A$13:$E$85,4,0))&amp;""</f>
        <v/>
      </c>
      <c r="E262" s="350" t="str">
        <f>VLOOKUP($A262,'Case-Specific'!$A$13:$E$85,5,0)&amp;""</f>
        <v>Based on the response to REQU-05 on the "START HERE" tab, this question does not apply to this product or service.</v>
      </c>
      <c r="F262" s="202"/>
      <c r="G262" s="37" t="str">
        <f>VLOOKUP($A262,Questions!$A$2:$X$333,21,0)&amp;""</f>
        <v>Yes</v>
      </c>
      <c r="H262" s="192"/>
      <c r="I262" s="52" t="str">
        <f>VLOOKUP($A262,Questions!$A$2:$X$333,23,0)&amp;""</f>
        <v>Standard Importance</v>
      </c>
      <c r="J262" s="192"/>
      <c r="K262" s="55" t="b">
        <v>0</v>
      </c>
      <c r="L262" s="1"/>
    </row>
    <row r="263" spans="1:12" s="36" customFormat="1" ht="102">
      <c r="A263" s="25" t="str">
        <f>'Case-Specific'!A39</f>
        <v>HIPA-07</v>
      </c>
      <c r="B263" s="26" t="str">
        <f>VLOOKUP($A263,'Case-Specific'!$A$13:$E$85,2,0)&amp;""</f>
        <v>Do you comply with the requirements of the Health Information Technology for Economic and Clinical Health Act (HITECH)?</v>
      </c>
      <c r="C263" s="52" t="str">
        <f>VLOOKUP($A263,'Case-Specific'!$A$13:$E$85,3,0)&amp;""</f>
        <v/>
      </c>
      <c r="D263" s="41" t="str">
        <f>IF(LEFT(VLOOKUP($A263,'Case-Specific'!$A$13:$E$85,5,0),21)='Auto Responses'!$A$73,'Auto Responses'!$A$74,VLOOKUP($A263,'Case-Specific'!$A$13:$E$85,4,0))&amp;""</f>
        <v/>
      </c>
      <c r="E263" s="350" t="str">
        <f>VLOOKUP($A263,'Case-Specific'!$A$13:$E$85,5,0)&amp;""</f>
        <v>Based on the response to REQU-05 on the "START HERE" tab, this question does not apply to this product or service.</v>
      </c>
      <c r="F263" s="202"/>
      <c r="G263" s="37" t="str">
        <f>VLOOKUP($A263,Questions!$A$2:$X$333,21,0)&amp;""</f>
        <v>Yes</v>
      </c>
      <c r="H263" s="192"/>
      <c r="I263" s="52" t="str">
        <f>VLOOKUP($A263,Questions!$A$2:$X$333,23,0)&amp;""</f>
        <v>Standard Importance</v>
      </c>
      <c r="J263" s="192"/>
      <c r="K263" s="55" t="b">
        <v>0</v>
      </c>
      <c r="L263" s="1"/>
    </row>
    <row r="264" spans="1:12" s="36" customFormat="1" ht="102">
      <c r="A264" s="25" t="str">
        <f>'Case-Specific'!A40</f>
        <v>HIPA-08</v>
      </c>
      <c r="B264" s="26" t="str">
        <f>VLOOKUP($A264,'Case-Specific'!$A$13:$E$85,2,0)&amp;""</f>
        <v>Have you conducted a risk analysis as required under the HIPAA Security Rule?</v>
      </c>
      <c r="C264" s="52" t="str">
        <f>VLOOKUP($A264,'Case-Specific'!$A$13:$E$85,3,0)&amp;""</f>
        <v/>
      </c>
      <c r="D264" s="41" t="str">
        <f>IF(LEFT(VLOOKUP($A264,'Case-Specific'!$A$13:$E$85,5,0),21)='Auto Responses'!$A$73,'Auto Responses'!$A$74,VLOOKUP($A264,'Case-Specific'!$A$13:$E$85,4,0))&amp;""</f>
        <v/>
      </c>
      <c r="E264" s="350" t="str">
        <f>VLOOKUP($A264,'Case-Specific'!$A$13:$E$85,5,0)&amp;""</f>
        <v>Based on the response to REQU-05 on the "START HERE" tab, this question does not apply to this product or service.</v>
      </c>
      <c r="F264" s="202"/>
      <c r="G264" s="37" t="str">
        <f>VLOOKUP($A264,Questions!$A$2:$X$333,21,0)&amp;""</f>
        <v>Yes</v>
      </c>
      <c r="H264" s="192"/>
      <c r="I264" s="52" t="str">
        <f>VLOOKUP($A264,Questions!$A$2:$X$333,23,0)&amp;""</f>
        <v>Standard Importance</v>
      </c>
      <c r="J264" s="192"/>
      <c r="K264" s="55" t="b">
        <v>0</v>
      </c>
      <c r="L264" s="1"/>
    </row>
    <row r="265" spans="1:12" s="36" customFormat="1" ht="102">
      <c r="A265" s="25" t="str">
        <f>'Case-Specific'!A41</f>
        <v>HIPA-09</v>
      </c>
      <c r="B265" s="26" t="str">
        <f>VLOOKUP($A265,'Case-Specific'!$A$13:$E$85,2,0)&amp;""</f>
        <v>Have you taken actions to mitigate the identified risks?</v>
      </c>
      <c r="C265" s="52" t="str">
        <f>VLOOKUP($A265,'Case-Specific'!$A$13:$E$85,3,0)&amp;""</f>
        <v/>
      </c>
      <c r="D265" s="41" t="str">
        <f>IF(LEFT(VLOOKUP($A265,'Case-Specific'!$A$13:$E$85,5,0),21)='Auto Responses'!$A$73,'Auto Responses'!$A$74,VLOOKUP($A265,'Case-Specific'!$A$13:$E$85,4,0))&amp;""</f>
        <v/>
      </c>
      <c r="E265" s="350" t="str">
        <f>VLOOKUP($A265,'Case-Specific'!$A$13:$E$85,5,0)&amp;""</f>
        <v>Based on the response to REQU-05 on the "START HERE" tab, this question does not apply to this product or service.</v>
      </c>
      <c r="F265" s="202"/>
      <c r="G265" s="37" t="str">
        <f>VLOOKUP($A265,Questions!$A$2:$X$333,21,0)&amp;""</f>
        <v>Yes</v>
      </c>
      <c r="H265" s="192"/>
      <c r="I265" s="52" t="str">
        <f>VLOOKUP($A265,Questions!$A$2:$X$333,23,0)&amp;""</f>
        <v>Standard Importance</v>
      </c>
      <c r="J265" s="192"/>
      <c r="K265" s="55" t="b">
        <v>0</v>
      </c>
      <c r="L265" s="1"/>
    </row>
    <row r="266" spans="1:12" s="36" customFormat="1" ht="102">
      <c r="A266" s="25" t="str">
        <f>'Case-Specific'!A42</f>
        <v>HIPA-10</v>
      </c>
      <c r="B266" s="26" t="str">
        <f>VLOOKUP($A266,'Case-Specific'!$A$13:$E$85,2,0)&amp;""</f>
        <v>Does your application require user and system administrator password changes at a frequency no greater than 90 days?</v>
      </c>
      <c r="C266" s="52" t="str">
        <f>VLOOKUP($A266,'Case-Specific'!$A$13:$E$85,3,0)&amp;""</f>
        <v/>
      </c>
      <c r="D266" s="41" t="str">
        <f>IF(LEFT(VLOOKUP($A266,'Case-Specific'!$A$13:$E$85,5,0),21)='Auto Responses'!$A$73,'Auto Responses'!$A$74,VLOOKUP($A266,'Case-Specific'!$A$13:$E$85,4,0))&amp;""</f>
        <v/>
      </c>
      <c r="E266" s="350" t="str">
        <f>VLOOKUP($A266,'Case-Specific'!$A$13:$E$85,5,0)&amp;""</f>
        <v>Based on the response to REQU-05 on the "START HERE" tab, this question does not apply to this product or service.</v>
      </c>
      <c r="F266" s="202"/>
      <c r="G266" s="37" t="str">
        <f>VLOOKUP($A266,Questions!$A$2:$X$333,21,0)&amp;""</f>
        <v>Yes</v>
      </c>
      <c r="H266" s="192"/>
      <c r="I266" s="52" t="str">
        <f>VLOOKUP($A266,Questions!$A$2:$X$333,23,0)&amp;""</f>
        <v>Standard Importance</v>
      </c>
      <c r="J266" s="192"/>
      <c r="K266" s="55" t="b">
        <v>0</v>
      </c>
      <c r="L266" s="1"/>
    </row>
    <row r="267" spans="1:12" s="36" customFormat="1" ht="102">
      <c r="A267" s="25" t="str">
        <f>'Case-Specific'!A43</f>
        <v>HIPA-11</v>
      </c>
      <c r="B267" s="26" t="str">
        <f>VLOOKUP($A267,'Case-Specific'!$A$13:$E$85,2,0)&amp;""</f>
        <v>Does your application require users to set their own password after an administrator reset or on first use of the account?</v>
      </c>
      <c r="C267" s="52" t="str">
        <f>VLOOKUP($A267,'Case-Specific'!$A$13:$E$85,3,0)&amp;""</f>
        <v/>
      </c>
      <c r="D267" s="41" t="str">
        <f>IF(LEFT(VLOOKUP($A267,'Case-Specific'!$A$13:$E$85,5,0),21)='Auto Responses'!$A$73,'Auto Responses'!$A$74,VLOOKUP($A267,'Case-Specific'!$A$13:$E$85,4,0))&amp;""</f>
        <v/>
      </c>
      <c r="E267" s="350" t="str">
        <f>VLOOKUP($A267,'Case-Specific'!$A$13:$E$85,5,0)&amp;""</f>
        <v>Based on the response to REQU-05 on the "START HERE" tab, this question does not apply to this product or service.</v>
      </c>
      <c r="F267" s="202"/>
      <c r="G267" s="37" t="str">
        <f>VLOOKUP($A267,Questions!$A$2:$X$333,21,0)&amp;""</f>
        <v>Yes</v>
      </c>
      <c r="H267" s="192"/>
      <c r="I267" s="52" t="str">
        <f>VLOOKUP($A267,Questions!$A$2:$X$333,23,0)&amp;""</f>
        <v>Standard Importance</v>
      </c>
      <c r="J267" s="192"/>
      <c r="K267" s="55" t="b">
        <v>0</v>
      </c>
      <c r="L267" s="1"/>
    </row>
    <row r="268" spans="1:12" s="36" customFormat="1" ht="102">
      <c r="A268" s="25" t="str">
        <f>'Case-Specific'!A44</f>
        <v>HIPA-12</v>
      </c>
      <c r="B268" s="26" t="str">
        <f>VLOOKUP($A268,'Case-Specific'!$A$13:$E$85,2,0)&amp;""</f>
        <v>Does your application lock out an account after a number of failed login attempts?</v>
      </c>
      <c r="C268" s="52" t="str">
        <f>VLOOKUP($A268,'Case-Specific'!$A$13:$E$85,3,0)&amp;""</f>
        <v/>
      </c>
      <c r="D268" s="41" t="str">
        <f>IF(LEFT(VLOOKUP($A268,'Case-Specific'!$A$13:$E$85,5,0),21)='Auto Responses'!$A$73,'Auto Responses'!$A$74,VLOOKUP($A268,'Case-Specific'!$A$13:$E$85,4,0))&amp;""</f>
        <v/>
      </c>
      <c r="E268" s="350" t="str">
        <f>VLOOKUP($A268,'Case-Specific'!$A$13:$E$85,5,0)&amp;""</f>
        <v>Based on the response to REQU-05 on the "START HERE" tab, this question does not apply to this product or service.</v>
      </c>
      <c r="F268" s="202"/>
      <c r="G268" s="37" t="str">
        <f>VLOOKUP($A268,Questions!$A$2:$X$333,21,0)&amp;""</f>
        <v>Yes</v>
      </c>
      <c r="H268" s="192"/>
      <c r="I268" s="52" t="str">
        <f>VLOOKUP($A268,Questions!$A$2:$X$333,23,0)&amp;""</f>
        <v>Standard Importance</v>
      </c>
      <c r="J268" s="192"/>
      <c r="K268" s="55" t="b">
        <v>0</v>
      </c>
      <c r="L268" s="1"/>
    </row>
    <row r="269" spans="1:12" s="36" customFormat="1" ht="102">
      <c r="A269" s="25" t="str">
        <f>'Case-Specific'!A45</f>
        <v>HIPA-13</v>
      </c>
      <c r="B269" s="26" t="str">
        <f>VLOOKUP($A269,'Case-Specific'!$A$13:$E$85,2,0)&amp;""</f>
        <v>Does your application automatically lock or log-out an account after a period of inactivity?</v>
      </c>
      <c r="C269" s="52" t="str">
        <f>VLOOKUP($A269,'Case-Specific'!$A$13:$E$85,3,0)&amp;""</f>
        <v/>
      </c>
      <c r="D269" s="41" t="str">
        <f>IF(LEFT(VLOOKUP($A269,'Case-Specific'!$A$13:$E$85,5,0),21)='Auto Responses'!$A$73,'Auto Responses'!$A$74,VLOOKUP($A269,'Case-Specific'!$A$13:$E$85,4,0))&amp;""</f>
        <v/>
      </c>
      <c r="E269" s="350" t="str">
        <f>VLOOKUP($A269,'Case-Specific'!$A$13:$E$85,5,0)&amp;""</f>
        <v>Based on the response to REQU-05 on the "START HERE" tab, this question does not apply to this product or service.</v>
      </c>
      <c r="F269" s="202"/>
      <c r="G269" s="37" t="str">
        <f>VLOOKUP($A269,Questions!$A$2:$X$333,21,0)&amp;""</f>
        <v>Yes</v>
      </c>
      <c r="H269" s="192"/>
      <c r="I269" s="52" t="str">
        <f>VLOOKUP($A269,Questions!$A$2:$X$333,23,0)&amp;""</f>
        <v>Standard Importance</v>
      </c>
      <c r="J269" s="192"/>
      <c r="K269" s="55" t="b">
        <v>0</v>
      </c>
      <c r="L269" s="1"/>
    </row>
    <row r="270" spans="1:12" s="36" customFormat="1" ht="102">
      <c r="A270" s="25" t="str">
        <f>'Case-Specific'!A46</f>
        <v>HIPA-14</v>
      </c>
      <c r="B270" s="26" t="str">
        <f>VLOOKUP($A270,'Case-Specific'!$A$13:$E$85,2,0)&amp;""</f>
        <v>Are passwords visible in plain text, whether when stored or entered, including service level accounts (i.e., database accounts, etc.)?</v>
      </c>
      <c r="C270" s="52" t="str">
        <f>VLOOKUP($A270,'Case-Specific'!$A$13:$E$85,3,0)&amp;""</f>
        <v/>
      </c>
      <c r="D270" s="41" t="str">
        <f>IF(LEFT(VLOOKUP($A270,'Case-Specific'!$A$13:$E$85,5,0),21)='Auto Responses'!$A$73,'Auto Responses'!$A$74,VLOOKUP($A270,'Case-Specific'!$A$13:$E$85,4,0))&amp;""</f>
        <v/>
      </c>
      <c r="E270" s="350" t="str">
        <f>VLOOKUP($A270,'Case-Specific'!$A$13:$E$85,5,0)&amp;""</f>
        <v>Based on the response to REQU-05 on the "START HERE" tab, this question does not apply to this product or service.</v>
      </c>
      <c r="F270" s="202"/>
      <c r="G270" s="37" t="str">
        <f>VLOOKUP($A270,Questions!$A$2:$X$333,21,0)&amp;""</f>
        <v>No</v>
      </c>
      <c r="H270" s="192"/>
      <c r="I270" s="52" t="str">
        <f>VLOOKUP($A270,Questions!$A$2:$X$333,23,0)&amp;""</f>
        <v>Standard Importance</v>
      </c>
      <c r="J270" s="192"/>
      <c r="K270" s="55" t="b">
        <v>0</v>
      </c>
      <c r="L270" s="1"/>
    </row>
    <row r="271" spans="1:12" s="36" customFormat="1" ht="102">
      <c r="A271" s="25" t="str">
        <f>'Case-Specific'!A47</f>
        <v>HIPA-15</v>
      </c>
      <c r="B271" s="26" t="str">
        <f>VLOOKUP($A271,'Case-Specific'!$A$13:$E$85,2,0)&amp;""</f>
        <v>If the application is institution-hosted, can all service level and administrative account passwords be changed by the institution?</v>
      </c>
      <c r="C271" s="52" t="str">
        <f>VLOOKUP($A271,'Case-Specific'!$A$13:$E$85,3,0)&amp;""</f>
        <v/>
      </c>
      <c r="D271" s="41" t="str">
        <f>IF(LEFT(VLOOKUP($A271,'Case-Specific'!$A$13:$E$85,5,0),21)='Auto Responses'!$A$73,'Auto Responses'!$A$74,VLOOKUP($A271,'Case-Specific'!$A$13:$E$85,4,0))&amp;""</f>
        <v/>
      </c>
      <c r="E271" s="350" t="str">
        <f>VLOOKUP($A271,'Case-Specific'!$A$13:$E$85,5,0)&amp;""</f>
        <v>Based on the response to REQU-05 on the "START HERE" tab, this question does not apply to this product or service.</v>
      </c>
      <c r="F271" s="202"/>
      <c r="G271" s="37" t="str">
        <f>VLOOKUP($A271,Questions!$A$2:$X$333,21,0)&amp;""</f>
        <v>Yes</v>
      </c>
      <c r="H271" s="192"/>
      <c r="I271" s="52" t="str">
        <f>VLOOKUP($A271,Questions!$A$2:$X$333,23,0)&amp;""</f>
        <v>Standard Importance</v>
      </c>
      <c r="J271" s="192"/>
      <c r="K271" s="55" t="b">
        <v>0</v>
      </c>
      <c r="L271" s="1"/>
    </row>
    <row r="272" spans="1:12" s="36" customFormat="1" ht="102">
      <c r="A272" s="25" t="str">
        <f>'Case-Specific'!A48</f>
        <v>HIPA-16</v>
      </c>
      <c r="B272" s="26" t="str">
        <f>VLOOKUP($A272,'Case-Specific'!$A$13:$E$85,2,0)&amp;""</f>
        <v>Does your application provide the ability to define user access levels?</v>
      </c>
      <c r="C272" s="52" t="str">
        <f>VLOOKUP($A272,'Case-Specific'!$A$13:$E$85,3,0)&amp;""</f>
        <v/>
      </c>
      <c r="D272" s="41" t="str">
        <f>IF(LEFT(VLOOKUP($A272,'Case-Specific'!$A$13:$E$85,5,0),21)='Auto Responses'!$A$73,'Auto Responses'!$A$74,VLOOKUP($A272,'Case-Specific'!$A$13:$E$85,4,0))&amp;""</f>
        <v/>
      </c>
      <c r="E272" s="350" t="str">
        <f>VLOOKUP($A272,'Case-Specific'!$A$13:$E$85,5,0)&amp;""</f>
        <v>Based on the response to REQU-05 on the "START HERE" tab, this question does not apply to this product or service.</v>
      </c>
      <c r="F272" s="202"/>
      <c r="G272" s="37" t="str">
        <f>VLOOKUP($A272,Questions!$A$2:$X$333,21,0)&amp;""</f>
        <v>Yes</v>
      </c>
      <c r="H272" s="192"/>
      <c r="I272" s="52" t="str">
        <f>VLOOKUP($A272,Questions!$A$2:$X$333,23,0)&amp;""</f>
        <v>Standard Importance</v>
      </c>
      <c r="J272" s="192"/>
      <c r="K272" s="55" t="b">
        <v>0</v>
      </c>
      <c r="L272" s="1"/>
    </row>
    <row r="273" spans="1:12" s="36" customFormat="1" ht="102">
      <c r="A273" s="25" t="str">
        <f>'Case-Specific'!A49</f>
        <v>HIPA-17</v>
      </c>
      <c r="B273" s="26" t="str">
        <f>VLOOKUP($A273,'Case-Specific'!$A$13:$E$85,2,0)&amp;""</f>
        <v>Does your application support varying levels of access to administrative tasks defined individually per user?</v>
      </c>
      <c r="C273" s="52" t="str">
        <f>VLOOKUP($A273,'Case-Specific'!$A$13:$E$85,3,0)&amp;""</f>
        <v/>
      </c>
      <c r="D273" s="41" t="str">
        <f>IF(LEFT(VLOOKUP($A273,'Case-Specific'!$A$13:$E$85,5,0),21)='Auto Responses'!$A$73,'Auto Responses'!$A$74,VLOOKUP($A273,'Case-Specific'!$A$13:$E$85,4,0))&amp;""</f>
        <v/>
      </c>
      <c r="E273" s="350" t="str">
        <f>VLOOKUP($A273,'Case-Specific'!$A$13:$E$85,5,0)&amp;""</f>
        <v>Based on the response to REQU-05 on the "START HERE" tab, this question does not apply to this product or service.</v>
      </c>
      <c r="F273" s="202"/>
      <c r="G273" s="37" t="str">
        <f>VLOOKUP($A273,Questions!$A$2:$X$333,21,0)&amp;""</f>
        <v>Yes</v>
      </c>
      <c r="H273" s="192"/>
      <c r="I273" s="52" t="str">
        <f>VLOOKUP($A273,Questions!$A$2:$X$333,23,0)&amp;""</f>
        <v>Standard Importance</v>
      </c>
      <c r="J273" s="192"/>
      <c r="K273" s="55" t="b">
        <v>0</v>
      </c>
      <c r="L273" s="1"/>
    </row>
    <row r="274" spans="1:12" s="36" customFormat="1" ht="102">
      <c r="A274" s="25" t="str">
        <f>'Case-Specific'!A50</f>
        <v>HIPA-18</v>
      </c>
      <c r="B274" s="26" t="str">
        <f>VLOOKUP($A274,'Case-Specific'!$A$13:$E$85,2,0)&amp;""</f>
        <v>Does your application support varying levels of access to records based on user ID?</v>
      </c>
      <c r="C274" s="52" t="str">
        <f>VLOOKUP($A274,'Case-Specific'!$A$13:$E$85,3,0)&amp;""</f>
        <v/>
      </c>
      <c r="D274" s="41" t="str">
        <f>IF(LEFT(VLOOKUP($A274,'Case-Specific'!$A$13:$E$85,5,0),21)='Auto Responses'!$A$73,'Auto Responses'!$A$74,VLOOKUP($A274,'Case-Specific'!$A$13:$E$85,4,0))&amp;""</f>
        <v/>
      </c>
      <c r="E274" s="350" t="str">
        <f>VLOOKUP($A274,'Case-Specific'!$A$13:$E$85,5,0)&amp;""</f>
        <v>Based on the response to REQU-05 on the "START HERE" tab, this question does not apply to this product or service.</v>
      </c>
      <c r="F274" s="202"/>
      <c r="G274" s="37" t="str">
        <f>VLOOKUP($A274,Questions!$A$2:$X$333,21,0)&amp;""</f>
        <v>No</v>
      </c>
      <c r="H274" s="192"/>
      <c r="I274" s="52" t="str">
        <f>VLOOKUP($A274,Questions!$A$2:$X$333,23,0)&amp;""</f>
        <v>Standard Importance</v>
      </c>
      <c r="J274" s="192"/>
      <c r="K274" s="55" t="b">
        <v>0</v>
      </c>
      <c r="L274" s="1"/>
    </row>
    <row r="275" spans="1:12" s="36" customFormat="1" ht="102">
      <c r="A275" s="25" t="str">
        <f>'Case-Specific'!A51</f>
        <v>HIPA-19</v>
      </c>
      <c r="B275" s="26" t="str">
        <f>VLOOKUP($A275,'Case-Specific'!$A$13:$E$85,2,0)&amp;""</f>
        <v>Is there a limit to the number of groups to which a user can be assigned?</v>
      </c>
      <c r="C275" s="52" t="str">
        <f>VLOOKUP($A275,'Case-Specific'!$A$13:$E$85,3,0)&amp;""</f>
        <v/>
      </c>
      <c r="D275" s="41" t="str">
        <f>IF(LEFT(VLOOKUP($A275,'Case-Specific'!$A$13:$E$85,5,0),21)='Auto Responses'!$A$73,'Auto Responses'!$A$74,VLOOKUP($A275,'Case-Specific'!$A$13:$E$85,4,0))&amp;""</f>
        <v/>
      </c>
      <c r="E275" s="350" t="str">
        <f>VLOOKUP($A275,'Case-Specific'!$A$13:$E$85,5,0)&amp;""</f>
        <v>Based on the response to REQU-05 on the "START HERE" tab, this question does not apply to this product or service.</v>
      </c>
      <c r="F275" s="202"/>
      <c r="G275" s="37" t="str">
        <f>VLOOKUP($A275,Questions!$A$2:$X$333,21,0)&amp;""</f>
        <v>Yes</v>
      </c>
      <c r="H275" s="192"/>
      <c r="I275" s="52" t="str">
        <f>VLOOKUP($A275,Questions!$A$2:$X$333,23,0)&amp;""</f>
        <v>Standard Importance</v>
      </c>
      <c r="J275" s="192"/>
      <c r="K275" s="55" t="b">
        <v>0</v>
      </c>
      <c r="L275" s="1"/>
    </row>
    <row r="276" spans="1:12" s="36" customFormat="1" ht="102">
      <c r="A276" s="25" t="str">
        <f>'Case-Specific'!A52</f>
        <v>HIPA-20</v>
      </c>
      <c r="B276" s="26" t="str">
        <f>VLOOKUP($A276,'Case-Specific'!$A$13:$E$85,2,0)&amp;""</f>
        <v>Do accounts used for solution provider-supplied remote support abide by the same authentication policies and access logging as the rest of the system?</v>
      </c>
      <c r="C276" s="52" t="str">
        <f>VLOOKUP($A276,'Case-Specific'!$A$13:$E$85,3,0)&amp;""</f>
        <v/>
      </c>
      <c r="D276" s="41" t="str">
        <f>IF(LEFT(VLOOKUP($A276,'Case-Specific'!$A$13:$E$85,5,0),21)='Auto Responses'!$A$73,'Auto Responses'!$A$74,VLOOKUP($A276,'Case-Specific'!$A$13:$E$85,4,0))&amp;""</f>
        <v/>
      </c>
      <c r="E276" s="350" t="str">
        <f>VLOOKUP($A276,'Case-Specific'!$A$13:$E$85,5,0)&amp;""</f>
        <v>Based on the response to REQU-05 on the "START HERE" tab, this question does not apply to this product or service.</v>
      </c>
      <c r="F276" s="202"/>
      <c r="G276" s="37" t="str">
        <f>VLOOKUP($A276,Questions!$A$2:$X$333,21,0)&amp;""</f>
        <v>Yes</v>
      </c>
      <c r="H276" s="192"/>
      <c r="I276" s="52" t="str">
        <f>VLOOKUP($A276,Questions!$A$2:$X$333,23,0)&amp;""</f>
        <v>Standard Importance</v>
      </c>
      <c r="J276" s="192"/>
      <c r="K276" s="55" t="b">
        <v>0</v>
      </c>
      <c r="L276" s="1"/>
    </row>
    <row r="277" spans="1:12" s="36" customFormat="1" ht="102">
      <c r="A277" s="25" t="str">
        <f>'Case-Specific'!A53</f>
        <v>HIPA-21</v>
      </c>
      <c r="B277" s="26" t="str">
        <f>VLOOKUP($A277,'Case-Specific'!$A$13:$E$85,2,0)&amp;""</f>
        <v>Does the application log record access including specific user, date/time of access, and originating IP or device?</v>
      </c>
      <c r="C277" s="52" t="str">
        <f>VLOOKUP($A277,'Case-Specific'!$A$13:$E$85,3,0)&amp;""</f>
        <v/>
      </c>
      <c r="D277" s="41" t="str">
        <f>IF(LEFT(VLOOKUP($A277,'Case-Specific'!$A$13:$E$85,5,0),21)='Auto Responses'!$A$73,'Auto Responses'!$A$74,VLOOKUP($A277,'Case-Specific'!$A$13:$E$85,4,0))&amp;""</f>
        <v/>
      </c>
      <c r="E277" s="350" t="str">
        <f>VLOOKUP($A277,'Case-Specific'!$A$13:$E$85,5,0)&amp;""</f>
        <v>Based on the response to REQU-05 on the "START HERE" tab, this question does not apply to this product or service.</v>
      </c>
      <c r="F277" s="202"/>
      <c r="G277" s="37" t="str">
        <f>VLOOKUP($A277,Questions!$A$2:$X$333,21,0)&amp;""</f>
        <v>Yes</v>
      </c>
      <c r="H277" s="192"/>
      <c r="I277" s="52" t="str">
        <f>VLOOKUP($A277,Questions!$A$2:$X$333,23,0)&amp;""</f>
        <v>Standard Importance</v>
      </c>
      <c r="J277" s="192"/>
      <c r="K277" s="55" t="b">
        <v>0</v>
      </c>
      <c r="L277" s="1"/>
    </row>
    <row r="278" spans="1:12" s="36" customFormat="1" ht="102">
      <c r="A278" s="25" t="str">
        <f>'Case-Specific'!A54</f>
        <v>HIPA-22</v>
      </c>
      <c r="B278" s="26" t="str">
        <f>VLOOKUP($A278,'Case-Specific'!$A$13:$E$85,2,0)&amp;""</f>
        <v>Does the application log administrative activity, such as user account access changes and password changes, including specific user, date/time of changes, and originating IP or device?</v>
      </c>
      <c r="C278" s="52" t="str">
        <f>VLOOKUP($A278,'Case-Specific'!$A$13:$E$85,3,0)&amp;""</f>
        <v/>
      </c>
      <c r="D278" s="41" t="str">
        <f>IF(LEFT(VLOOKUP($A278,'Case-Specific'!$A$13:$E$85,5,0),21)='Auto Responses'!$A$73,'Auto Responses'!$A$74,VLOOKUP($A278,'Case-Specific'!$A$13:$E$85,4,0))&amp;""</f>
        <v/>
      </c>
      <c r="E278" s="350" t="str">
        <f>VLOOKUP($A278,'Case-Specific'!$A$13:$E$85,5,0)&amp;""</f>
        <v>Based on the response to REQU-05 on the "START HERE" tab, this question does not apply to this product or service.</v>
      </c>
      <c r="F278" s="202"/>
      <c r="G278" s="37" t="str">
        <f>VLOOKUP($A278,Questions!$A$2:$X$333,21,0)&amp;""</f>
        <v>Yes</v>
      </c>
      <c r="H278" s="192"/>
      <c r="I278" s="52" t="str">
        <f>VLOOKUP($A278,Questions!$A$2:$X$333,23,0)&amp;""</f>
        <v>Standard Importance</v>
      </c>
      <c r="J278" s="192"/>
      <c r="K278" s="55" t="b">
        <v>0</v>
      </c>
      <c r="L278" s="1"/>
    </row>
    <row r="279" spans="1:12" s="36" customFormat="1" ht="102">
      <c r="A279" s="25" t="str">
        <f>'Case-Specific'!A55</f>
        <v>HIPA-23</v>
      </c>
      <c r="B279" s="26" t="str">
        <f>VLOOKUP($A279,'Case-Specific'!$A$13:$E$85,2,0)&amp;""</f>
        <v>Do you retain logs for at least as long as required by HIPAA regulations?</v>
      </c>
      <c r="C279" s="52" t="str">
        <f>VLOOKUP($A279,'Case-Specific'!$A$13:$E$85,3,0)&amp;""</f>
        <v/>
      </c>
      <c r="D279" s="41" t="str">
        <f>IF(LEFT(VLOOKUP($A279,'Case-Specific'!$A$13:$E$85,5,0),21)='Auto Responses'!$A$73,'Auto Responses'!$A$74,VLOOKUP($A279,'Case-Specific'!$A$13:$E$85,4,0))&amp;""</f>
        <v/>
      </c>
      <c r="E279" s="350" t="str">
        <f>VLOOKUP($A279,'Case-Specific'!$A$13:$E$85,5,0)&amp;""</f>
        <v>Based on the response to REQU-05 on the "START HERE" tab, this question does not apply to this product or service.</v>
      </c>
      <c r="F279" s="202"/>
      <c r="G279" s="37" t="str">
        <f>VLOOKUP($A279,Questions!$A$2:$X$333,21,0)&amp;""</f>
        <v>Yes</v>
      </c>
      <c r="H279" s="192"/>
      <c r="I279" s="52" t="str">
        <f>VLOOKUP($A279,Questions!$A$2:$X$333,23,0)&amp;""</f>
        <v>Standard Importance</v>
      </c>
      <c r="J279" s="192"/>
      <c r="K279" s="55" t="b">
        <v>0</v>
      </c>
      <c r="L279" s="1"/>
    </row>
    <row r="280" spans="1:12" s="36" customFormat="1" ht="102">
      <c r="A280" s="25" t="str">
        <f>'Case-Specific'!A56</f>
        <v>HIPA-24</v>
      </c>
      <c r="B280" s="26" t="str">
        <f>VLOOKUP($A280,'Case-Specific'!$A$13:$E$85,2,0)&amp;""</f>
        <v>Can the application logs be archived?</v>
      </c>
      <c r="C280" s="52" t="str">
        <f>VLOOKUP($A280,'Case-Specific'!$A$13:$E$85,3,0)&amp;""</f>
        <v/>
      </c>
      <c r="D280" s="41" t="str">
        <f>IF(LEFT(VLOOKUP($A280,'Case-Specific'!$A$13:$E$85,5,0),21)='Auto Responses'!$A$73,'Auto Responses'!$A$74,VLOOKUP($A280,'Case-Specific'!$A$13:$E$85,4,0))&amp;""</f>
        <v/>
      </c>
      <c r="E280" s="350" t="str">
        <f>VLOOKUP($A280,'Case-Specific'!$A$13:$E$85,5,0)&amp;""</f>
        <v>Based on the response to REQU-05 on the "START HERE" tab, this question does not apply to this product or service.</v>
      </c>
      <c r="F280" s="202"/>
      <c r="G280" s="37" t="str">
        <f>VLOOKUP($A280,Questions!$A$2:$X$333,21,0)&amp;""</f>
        <v>Yes</v>
      </c>
      <c r="H280" s="192"/>
      <c r="I280" s="52" t="str">
        <f>VLOOKUP($A280,Questions!$A$2:$X$333,23,0)&amp;""</f>
        <v>Standard Importance</v>
      </c>
      <c r="J280" s="192"/>
      <c r="K280" s="55" t="b">
        <v>0</v>
      </c>
      <c r="L280" s="1"/>
    </row>
    <row r="281" spans="1:12" s="36" customFormat="1" ht="102">
      <c r="A281" s="25" t="str">
        <f>'Case-Specific'!A57</f>
        <v>HIPA-25</v>
      </c>
      <c r="B281" s="26" t="str">
        <f>VLOOKUP($A281,'Case-Specific'!$A$13:$E$85,2,0)&amp;""</f>
        <v>Can the application logs be saved externally?</v>
      </c>
      <c r="C281" s="52" t="str">
        <f>VLOOKUP($A281,'Case-Specific'!$A$13:$E$85,3,0)&amp;""</f>
        <v/>
      </c>
      <c r="D281" s="41" t="str">
        <f>IF(LEFT(VLOOKUP($A281,'Case-Specific'!$A$13:$E$85,5,0),21)='Auto Responses'!$A$73,'Auto Responses'!$A$74,VLOOKUP($A281,'Case-Specific'!$A$13:$E$85,4,0))&amp;""</f>
        <v/>
      </c>
      <c r="E281" s="350" t="str">
        <f>VLOOKUP($A281,'Case-Specific'!$A$13:$E$85,5,0)&amp;""</f>
        <v>Based on the response to REQU-05 on the "START HERE" tab, this question does not apply to this product or service.</v>
      </c>
      <c r="F281" s="202"/>
      <c r="G281" s="37" t="str">
        <f>VLOOKUP($A281,Questions!$A$2:$X$333,21,0)&amp;""</f>
        <v>Yes</v>
      </c>
      <c r="H281" s="192"/>
      <c r="I281" s="52" t="str">
        <f>VLOOKUP($A281,Questions!$A$2:$X$333,23,0)&amp;""</f>
        <v>Standard Importance</v>
      </c>
      <c r="J281" s="192"/>
      <c r="K281" s="55" t="b">
        <v>0</v>
      </c>
      <c r="L281" s="1"/>
    </row>
    <row r="282" spans="1:12" s="36" customFormat="1" ht="102">
      <c r="A282" s="25" t="str">
        <f>'Case-Specific'!A58</f>
        <v>HIPA-26</v>
      </c>
      <c r="B282" s="26" t="str">
        <f>VLOOKUP($A282,'Case-Specific'!$A$13:$E$85,2,0)&amp;""</f>
        <v>Do you have a disaster recovery plan and emergency mode operation plan?</v>
      </c>
      <c r="C282" s="52" t="str">
        <f>VLOOKUP($A282,'Case-Specific'!$A$13:$E$85,3,0)&amp;""</f>
        <v/>
      </c>
      <c r="D282" s="41" t="str">
        <f>IF(LEFT(VLOOKUP($A282,'Case-Specific'!$A$13:$E$85,5,0),21)='Auto Responses'!$A$73,'Auto Responses'!$A$74,VLOOKUP($A282,'Case-Specific'!$A$13:$E$85,4,0))&amp;""</f>
        <v/>
      </c>
      <c r="E282" s="350" t="str">
        <f>VLOOKUP($A282,'Case-Specific'!$A$13:$E$85,5,0)&amp;""</f>
        <v>Based on the response to REQU-05 on the "START HERE" tab, this question does not apply to this product or service.</v>
      </c>
      <c r="F282" s="202"/>
      <c r="G282" s="37" t="str">
        <f>VLOOKUP($A282,Questions!$A$2:$X$333,21,0)&amp;""</f>
        <v>Yes</v>
      </c>
      <c r="H282" s="192"/>
      <c r="I282" s="52" t="str">
        <f>VLOOKUP($A282,Questions!$A$2:$X$333,23,0)&amp;""</f>
        <v>Standard Importance</v>
      </c>
      <c r="J282" s="192"/>
      <c r="K282" s="55" t="b">
        <v>0</v>
      </c>
      <c r="L282" s="1"/>
    </row>
    <row r="283" spans="1:12" s="36" customFormat="1" ht="102">
      <c r="A283" s="25" t="str">
        <f>'Case-Specific'!A59</f>
        <v>HIPA-27</v>
      </c>
      <c r="B283" s="26" t="str">
        <f>VLOOKUP($A283,'Case-Specific'!$A$13:$E$85,2,0)&amp;""</f>
        <v>Can you provide a HIPAA compliance attestation document?</v>
      </c>
      <c r="C283" s="52" t="str">
        <f>VLOOKUP($A283,'Case-Specific'!$A$13:$E$85,3,0)&amp;""</f>
        <v/>
      </c>
      <c r="D283" s="41" t="str">
        <f>IF(LEFT(VLOOKUP($A283,'Case-Specific'!$A$13:$E$85,5,0),21)='Auto Responses'!$A$73,'Auto Responses'!$A$74,VLOOKUP($A283,'Case-Specific'!$A$13:$E$85,4,0))&amp;""</f>
        <v/>
      </c>
      <c r="E283" s="350" t="str">
        <f>VLOOKUP($A283,'Case-Specific'!$A$13:$E$85,5,0)&amp;""</f>
        <v>Based on the response to REQU-05 on the "START HERE" tab, this question does not apply to this product or service.</v>
      </c>
      <c r="F283" s="202"/>
      <c r="G283" s="37" t="str">
        <f>VLOOKUP($A283,Questions!$A$2:$X$333,21,0)&amp;""</f>
        <v>Yes</v>
      </c>
      <c r="H283" s="192"/>
      <c r="I283" s="52" t="str">
        <f>VLOOKUP($A283,Questions!$A$2:$X$333,23,0)&amp;""</f>
        <v>Standard Importance</v>
      </c>
      <c r="J283" s="192"/>
      <c r="K283" s="55" t="b">
        <v>0</v>
      </c>
      <c r="L283" s="1"/>
    </row>
    <row r="284" spans="1:12" s="36" customFormat="1" ht="102">
      <c r="A284" s="25" t="str">
        <f>'Case-Specific'!A60</f>
        <v>HIPA-28</v>
      </c>
      <c r="B284" s="26" t="str">
        <f>VLOOKUP($A284,'Case-Specific'!$A$13:$E$85,2,0)&amp;""</f>
        <v>Are you willing to enter into a Business Associate Agreement (BAA)?</v>
      </c>
      <c r="C284" s="52" t="str">
        <f>VLOOKUP($A284,'Case-Specific'!$A$13:$E$85,3,0)&amp;""</f>
        <v/>
      </c>
      <c r="D284" s="41" t="str">
        <f>IF(LEFT(VLOOKUP($A284,'Case-Specific'!$A$13:$E$85,5,0),21)='Auto Responses'!$A$73,'Auto Responses'!$A$74,VLOOKUP($A284,'Case-Specific'!$A$13:$E$85,4,0))&amp;""</f>
        <v/>
      </c>
      <c r="E284" s="350" t="str">
        <f>VLOOKUP($A284,'Case-Specific'!$A$13:$E$85,5,0)&amp;""</f>
        <v>Based on the response to REQU-05 on the "START HERE" tab, this question does not apply to this product or service.</v>
      </c>
      <c r="F284" s="202"/>
      <c r="G284" s="37" t="str">
        <f>VLOOKUP($A284,Questions!$A$2:$X$333,21,0)&amp;""</f>
        <v>Yes</v>
      </c>
      <c r="H284" s="192"/>
      <c r="I284" s="52" t="str">
        <f>VLOOKUP($A284,Questions!$A$2:$X$333,23,0)&amp;""</f>
        <v>Standard Importance</v>
      </c>
      <c r="J284" s="192"/>
      <c r="K284" s="55" t="b">
        <v>0</v>
      </c>
      <c r="L284" s="1"/>
    </row>
    <row r="285" spans="1:12" s="36" customFormat="1" ht="102">
      <c r="A285" s="25" t="str">
        <f>'Case-Specific'!A61</f>
        <v>HIPA-29</v>
      </c>
      <c r="B285" s="26" t="str">
        <f>VLOOKUP($A285,'Case-Specific'!$A$13:$E$85,2,0)&amp;""</f>
        <v>Do your data backup and retention policies and practices meet HIPAA requirements?</v>
      </c>
      <c r="C285" s="52" t="str">
        <f>VLOOKUP($A285,'Case-Specific'!$A$13:$E$85,3,0)&amp;""</f>
        <v/>
      </c>
      <c r="D285" s="41" t="str">
        <f>IF(LEFT(VLOOKUP($A285,'Case-Specific'!$A$13:$E$85,5,0),21)='Auto Responses'!$A$73,'Auto Responses'!$A$74,VLOOKUP($A285,'Case-Specific'!$A$13:$E$85,4,0))&amp;""</f>
        <v/>
      </c>
      <c r="E285" s="350" t="str">
        <f>VLOOKUP($A285,'Case-Specific'!$A$13:$E$85,5,0)&amp;""</f>
        <v>Based on the response to REQU-05 on the "START HERE" tab, this question does not apply to this product or service.</v>
      </c>
      <c r="F285" s="202"/>
      <c r="G285" s="37" t="str">
        <f>VLOOKUP($A285,Questions!$A$2:$X$333,21,0)&amp;""</f>
        <v>Yes</v>
      </c>
      <c r="H285" s="192"/>
      <c r="I285" s="52" t="str">
        <f>VLOOKUP($A285,Questions!$A$2:$X$333,23,0)&amp;""</f>
        <v>Minor Importance</v>
      </c>
      <c r="J285" s="192"/>
      <c r="K285" s="55" t="b">
        <v>0</v>
      </c>
      <c r="L285" s="1"/>
    </row>
    <row r="286" spans="1:12" s="1" customFormat="1" ht="18">
      <c r="A286" s="70" t="str">
        <f>VLOOKUP(LEFT($A287,4),'Auto Responses'!$N$4:$O$38,2,0)&amp;""</f>
        <v xml:space="preserve"> Payment Card Industry Data Security Standard (PCI DSS)</v>
      </c>
      <c r="B286" s="29"/>
      <c r="C286" s="38"/>
      <c r="D286" s="38"/>
      <c r="E286" s="351"/>
      <c r="F286" s="139" t="s">
        <v>1089</v>
      </c>
      <c r="G286" s="358" t="s">
        <v>925</v>
      </c>
      <c r="H286" s="358" t="s">
        <v>927</v>
      </c>
      <c r="I286" s="358" t="s">
        <v>19</v>
      </c>
      <c r="J286" s="358" t="s">
        <v>912</v>
      </c>
      <c r="K286" s="38"/>
    </row>
    <row r="287" spans="1:12" s="36" customFormat="1" ht="102">
      <c r="A287" s="25" t="str">
        <f>'Case-Specific'!A63</f>
        <v>PCID-01</v>
      </c>
      <c r="B287" s="26" t="str">
        <f>VLOOKUP($A287,'Case-Specific'!$A$13:$E$85,2,0)&amp;""</f>
        <v>Do you have a current, executed within the past year, Attestation of Compliance (AoC) or Report on Compliance (RoC)?*</v>
      </c>
      <c r="C287" s="52" t="str">
        <f>VLOOKUP($A287,'Case-Specific'!$A$13:$E$85,3,0)&amp;""</f>
        <v/>
      </c>
      <c r="D287" s="41" t="str">
        <f>IF(LEFT(VLOOKUP($A287,'Case-Specific'!$A$13:$E$85,5,0),21)='Auto Responses'!$A$73,'Auto Responses'!$A$74,VLOOKUP($A287,'Case-Specific'!$A$13:$E$85,4,0))&amp;""</f>
        <v/>
      </c>
      <c r="E287" s="350" t="str">
        <f>VLOOKUP($A287,'Case-Specific'!$A$13:$E$85,5,0)&amp;""</f>
        <v>Based on the response to REQU-06 on the "START HERE" tab, this question does not apply to this product or service.</v>
      </c>
      <c r="F287" s="202"/>
      <c r="G287" s="37" t="str">
        <f>VLOOKUP($A287,Questions!$A$2:$X$333,21,0)&amp;""</f>
        <v>Yes</v>
      </c>
      <c r="H287" s="192"/>
      <c r="I287" s="52" t="str">
        <f>VLOOKUP($A287,Questions!$A$2:$X$333,23,0)&amp;""</f>
        <v>Critical Importance</v>
      </c>
      <c r="J287" s="192"/>
      <c r="K287" s="55" t="b">
        <v>0</v>
      </c>
      <c r="L287" s="1"/>
    </row>
    <row r="288" spans="1:12" s="36" customFormat="1" ht="102">
      <c r="A288" s="25" t="str">
        <f>'Case-Specific'!A64</f>
        <v>PCID-02</v>
      </c>
      <c r="B288" s="26" t="str">
        <f>VLOOKUP($A288,'Case-Specific'!$A$13:$E$85,2,0)&amp;""</f>
        <v>Is the application listed as an approved Payment Application Data Security Standard (PA-DSS) application?*</v>
      </c>
      <c r="C288" s="52" t="str">
        <f>VLOOKUP($A288,'Case-Specific'!$A$13:$E$85,3,0)&amp;""</f>
        <v/>
      </c>
      <c r="D288" s="41" t="str">
        <f>IF(LEFT(VLOOKUP($A288,'Case-Specific'!$A$13:$E$85,5,0),21)='Auto Responses'!$A$73,'Auto Responses'!$A$74,VLOOKUP($A288,'Case-Specific'!$A$13:$E$85,4,0))&amp;""</f>
        <v/>
      </c>
      <c r="E288" s="350" t="str">
        <f>VLOOKUP($A288,'Case-Specific'!$A$13:$E$85,5,0)&amp;""</f>
        <v>Based on the response to REQU-06 on the "START HERE" tab, this question does not apply to this product or service.</v>
      </c>
      <c r="F288" s="202"/>
      <c r="G288" s="37" t="str">
        <f>VLOOKUP($A288,Questions!$A$2:$X$333,21,0)&amp;""</f>
        <v>No</v>
      </c>
      <c r="H288" s="192"/>
      <c r="I288" s="52" t="str">
        <f>VLOOKUP($A288,Questions!$A$2:$X$333,23,0)&amp;""</f>
        <v>Critical Importance</v>
      </c>
      <c r="J288" s="192"/>
      <c r="K288" s="55" t="b">
        <v>0</v>
      </c>
      <c r="L288" s="1"/>
    </row>
    <row r="289" spans="1:12" s="36" customFormat="1" ht="102">
      <c r="A289" s="25" t="str">
        <f>'Case-Specific'!A65</f>
        <v>PCID-03</v>
      </c>
      <c r="B289" s="26" t="str">
        <f>VLOOKUP($A289,'Case-Specific'!$A$13:$E$85,2,0)&amp;""</f>
        <v>Does the system or solutions use a third party to collect, store, process, or transmit cardholder (payment/credit/debt card) data?*</v>
      </c>
      <c r="C289" s="52" t="str">
        <f>VLOOKUP($A289,'Case-Specific'!$A$13:$E$85,3,0)&amp;""</f>
        <v/>
      </c>
      <c r="D289" s="41" t="str">
        <f>IF(LEFT(VLOOKUP($A289,'Case-Specific'!$A$13:$E$85,5,0),21)='Auto Responses'!$A$73,'Auto Responses'!$A$74,VLOOKUP($A289,'Case-Specific'!$A$13:$E$85,4,0))&amp;""</f>
        <v/>
      </c>
      <c r="E289" s="350" t="str">
        <f>VLOOKUP($A289,'Case-Specific'!$A$13:$E$85,5,0)&amp;""</f>
        <v>Based on the response to REQU-06 on the "START HERE" tab, this question does not apply to this product or service.</v>
      </c>
      <c r="F289" s="202"/>
      <c r="G289" s="37" t="str">
        <f>VLOOKUP($A289,Questions!$A$2:$X$333,21,0)&amp;""</f>
        <v>No</v>
      </c>
      <c r="H289" s="192"/>
      <c r="I289" s="52" t="str">
        <f>VLOOKUP($A289,Questions!$A$2:$X$333,23,0)&amp;""</f>
        <v>Critical Importance</v>
      </c>
      <c r="J289" s="192"/>
      <c r="K289" s="55" t="b">
        <v>0</v>
      </c>
      <c r="L289" s="1"/>
    </row>
    <row r="290" spans="1:12" s="36" customFormat="1" ht="102">
      <c r="A290" s="25" t="str">
        <f>'Case-Specific'!A66</f>
        <v>PCID-04</v>
      </c>
      <c r="B290" s="26" t="str">
        <f>VLOOKUP($A290,'Case-Specific'!$A$13:$E$85,2,0)&amp;""</f>
        <v>Do your systems or solutions store, process, or transmit cardholder (payment/credit/debt card) data?</v>
      </c>
      <c r="C290" s="52" t="str">
        <f>VLOOKUP($A290,'Case-Specific'!$A$13:$E$85,3,0)&amp;""</f>
        <v/>
      </c>
      <c r="D290" s="41" t="str">
        <f>IF(LEFT(VLOOKUP($A290,'Case-Specific'!$A$13:$E$85,5,0),21)='Auto Responses'!$A$73,'Auto Responses'!$A$74,VLOOKUP($A290,'Case-Specific'!$A$13:$E$85,4,0))&amp;""</f>
        <v/>
      </c>
      <c r="E290" s="350" t="str">
        <f>VLOOKUP($A290,'Case-Specific'!$A$13:$E$85,5,0)&amp;""</f>
        <v>Based on the response to REQU-06 on the "START HERE" tab, this question does not apply to this product or service.</v>
      </c>
      <c r="F290" s="202"/>
      <c r="G290" s="37" t="str">
        <f>VLOOKUP($A290,Questions!$A$2:$X$333,21,0)&amp;""</f>
        <v>Yes</v>
      </c>
      <c r="H290" s="192"/>
      <c r="I290" s="52" t="str">
        <f>VLOOKUP($A290,Questions!$A$2:$X$333,23,0)&amp;""</f>
        <v>Standard Importance</v>
      </c>
      <c r="J290" s="192"/>
      <c r="K290" s="55" t="b">
        <v>0</v>
      </c>
      <c r="L290" s="1"/>
    </row>
    <row r="291" spans="1:12" s="36" customFormat="1" ht="102">
      <c r="A291" s="25" t="str">
        <f>'Case-Specific'!A67</f>
        <v>PCID-05</v>
      </c>
      <c r="B291" s="26" t="str">
        <f>VLOOKUP($A291,'Case-Specific'!$A$13:$E$85,2,0)&amp;""</f>
        <v>Are you compliant with the Payment Card Industry Data Security Standard (PCI DSS)?</v>
      </c>
      <c r="C291" s="52" t="str">
        <f>VLOOKUP($A291,'Case-Specific'!$A$13:$E$85,3,0)&amp;""</f>
        <v/>
      </c>
      <c r="D291" s="41" t="str">
        <f>IF(LEFT(VLOOKUP($A291,'Case-Specific'!$A$13:$E$85,5,0),21)='Auto Responses'!$A$73,'Auto Responses'!$A$74,VLOOKUP($A291,'Case-Specific'!$A$13:$E$85,4,0))&amp;""</f>
        <v/>
      </c>
      <c r="E291" s="350" t="str">
        <f>VLOOKUP($A291,'Case-Specific'!$A$13:$E$85,5,0)&amp;""</f>
        <v>Based on the response to REQU-06 on the "START HERE" tab, this question does not apply to this product or service.</v>
      </c>
      <c r="F291" s="202"/>
      <c r="G291" s="37" t="str">
        <f>VLOOKUP($A291,Questions!$A$2:$X$333,21,0)&amp;""</f>
        <v>Yes</v>
      </c>
      <c r="H291" s="192"/>
      <c r="I291" s="52" t="str">
        <f>VLOOKUP($A291,Questions!$A$2:$X$333,23,0)&amp;""</f>
        <v>Standard Importance</v>
      </c>
      <c r="J291" s="192"/>
      <c r="K291" s="55" t="b">
        <v>0</v>
      </c>
      <c r="L291" s="1"/>
    </row>
    <row r="292" spans="1:12" s="36" customFormat="1" ht="102">
      <c r="A292" s="25" t="str">
        <f>'Case-Specific'!A68</f>
        <v>PCID-06</v>
      </c>
      <c r="B292" s="26" t="str">
        <f>VLOOKUP($A292,'Case-Specific'!$A$13:$E$85,2,0)&amp;""</f>
        <v>Are you classified as a service provider?</v>
      </c>
      <c r="C292" s="52" t="str">
        <f>VLOOKUP($A292,'Case-Specific'!$A$13:$E$85,3,0)&amp;""</f>
        <v/>
      </c>
      <c r="D292" s="41" t="str">
        <f>IF(LEFT(VLOOKUP($A292,'Case-Specific'!$A$13:$E$85,5,0),21)='Auto Responses'!$A$73,'Auto Responses'!$A$74,VLOOKUP($A292,'Case-Specific'!$A$13:$E$85,4,0))&amp;""</f>
        <v/>
      </c>
      <c r="E292" s="350" t="str">
        <f>VLOOKUP($A292,'Case-Specific'!$A$13:$E$85,5,0)&amp;""</f>
        <v>Based on the response to REQU-06 on the "START HERE" tab, this question does not apply to this product or service.</v>
      </c>
      <c r="F292" s="202"/>
      <c r="G292" s="37" t="str">
        <f>VLOOKUP($A292,Questions!$A$2:$X$333,21,0)&amp;""</f>
        <v>Yes</v>
      </c>
      <c r="H292" s="192"/>
      <c r="I292" s="52" t="str">
        <f>VLOOKUP($A292,Questions!$A$2:$X$333,23,0)&amp;""</f>
        <v>Standard Importance</v>
      </c>
      <c r="J292" s="192"/>
      <c r="K292" s="55" t="b">
        <v>0</v>
      </c>
      <c r="L292" s="1"/>
    </row>
    <row r="293" spans="1:12" s="36" customFormat="1" ht="102">
      <c r="A293" s="25" t="str">
        <f>'Case-Specific'!A69</f>
        <v>PCID-07</v>
      </c>
      <c r="B293" s="26" t="str">
        <f>VLOOKUP($A293,'Case-Specific'!$A$13:$E$85,2,0)&amp;""</f>
        <v>Are you on the list of Visa approved service providers?</v>
      </c>
      <c r="C293" s="52" t="str">
        <f>VLOOKUP($A293,'Case-Specific'!$A$13:$E$85,3,0)&amp;""</f>
        <v/>
      </c>
      <c r="D293" s="41" t="str">
        <f>IF(LEFT(VLOOKUP($A293,'Case-Specific'!$A$13:$E$85,5,0),21)='Auto Responses'!$A$73,'Auto Responses'!$A$74,VLOOKUP($A293,'Case-Specific'!$A$13:$E$85,4,0))&amp;""</f>
        <v/>
      </c>
      <c r="E293" s="350" t="str">
        <f>VLOOKUP($A293,'Case-Specific'!$A$13:$E$85,5,0)&amp;""</f>
        <v>Based on the response to REQU-06 on the "START HERE" tab, this question does not apply to this product or service.</v>
      </c>
      <c r="F293" s="202"/>
      <c r="G293" s="37" t="str">
        <f>VLOOKUP($A293,Questions!$A$2:$X$333,21,0)&amp;""</f>
        <v>Yes</v>
      </c>
      <c r="H293" s="192"/>
      <c r="I293" s="52" t="str">
        <f>VLOOKUP($A293,Questions!$A$2:$X$333,23,0)&amp;""</f>
        <v>Standard Importance</v>
      </c>
      <c r="J293" s="192"/>
      <c r="K293" s="55" t="b">
        <v>0</v>
      </c>
      <c r="L293" s="1"/>
    </row>
    <row r="294" spans="1:12" s="36" customFormat="1" ht="102">
      <c r="A294" s="25" t="str">
        <f>'Case-Specific'!A70</f>
        <v>PCID-08</v>
      </c>
      <c r="B294" s="26" t="str">
        <f>VLOOKUP($A294,'Case-Specific'!$A$13:$E$85,2,0)&amp;""</f>
        <v>Are you classified as a merchant? If so, what level (1, 2, 3, 4)?</v>
      </c>
      <c r="C294" s="52" t="str">
        <f>VLOOKUP($A294,'Case-Specific'!$A$13:$E$85,3,0)&amp;""</f>
        <v/>
      </c>
      <c r="D294" s="41" t="str">
        <f>IF(LEFT(VLOOKUP($A294,'Case-Specific'!$A$13:$E$85,5,0),21)='Auto Responses'!$A$73,'Auto Responses'!$A$74,VLOOKUP($A294,'Case-Specific'!$A$13:$E$85,4,0))&amp;""</f>
        <v/>
      </c>
      <c r="E294" s="350" t="str">
        <f>VLOOKUP($A294,'Case-Specific'!$A$13:$E$85,5,0)&amp;""</f>
        <v>Based on the response to REQU-06 on the "START HERE" tab, this question does not apply to this product or service.</v>
      </c>
      <c r="F294" s="202"/>
      <c r="G294" s="37" t="str">
        <f>VLOOKUP($A294,Questions!$A$2:$X$333,21,0)&amp;""</f>
        <v>Yes</v>
      </c>
      <c r="H294" s="192"/>
      <c r="I294" s="52" t="str">
        <f>VLOOKUP($A294,Questions!$A$2:$X$333,23,0)&amp;""</f>
        <v>Standard Importance</v>
      </c>
      <c r="J294" s="192"/>
      <c r="K294" s="55" t="b">
        <v>0</v>
      </c>
      <c r="L294" s="1"/>
    </row>
    <row r="295" spans="1:12" s="36" customFormat="1" ht="102">
      <c r="A295" s="25" t="str">
        <f>'Case-Specific'!A71</f>
        <v>PCID-09</v>
      </c>
      <c r="B295" s="26" t="str">
        <f>VLOOKUP($A295,'Case-Specific'!$A$13:$E$85,2,0)&amp;""</f>
        <v>Describe the architecture employed by the system to verify and authorize credit card transactions.</v>
      </c>
      <c r="C295" s="324" t="str">
        <f>VLOOKUP($A295,'Case-Specific'!$A$13:$E$85,3,0)&amp;""</f>
        <v/>
      </c>
      <c r="D295" s="323" t="str">
        <f>IF(LEFT(VLOOKUP($A295,'Case-Specific'!$A$13:$E$85,5,0),21)='Auto Responses'!$A$73,'Auto Responses'!$A$74,VLOOKUP($A295,'Case-Specific'!$A$13:$E$85,4,0))&amp;""</f>
        <v/>
      </c>
      <c r="E295" s="350" t="str">
        <f>VLOOKUP($A295,'Case-Specific'!$A$13:$E$85,5,0)&amp;""</f>
        <v>Based on the response to REQU-06 on the "START HERE" tab, this question does not apply to this product or service.</v>
      </c>
      <c r="F295" s="202"/>
      <c r="G295" s="37" t="str">
        <f>VLOOKUP($A295,Questions!$A$2:$X$333,21,0)&amp;""</f>
        <v>Not scored</v>
      </c>
      <c r="H295" s="192"/>
      <c r="I295" s="52" t="str">
        <f>VLOOKUP($A295,Questions!$A$2:$X$333,23,0)&amp;""</f>
        <v>Minor Importance</v>
      </c>
      <c r="J295" s="192"/>
      <c r="K295" s="55" t="b">
        <v>0</v>
      </c>
      <c r="L295" s="1"/>
    </row>
    <row r="296" spans="1:12" s="36" customFormat="1" ht="102">
      <c r="A296" s="25" t="str">
        <f>'Case-Specific'!A72</f>
        <v>PCID-10</v>
      </c>
      <c r="B296" s="26" t="str">
        <f>VLOOKUP($A296,'Case-Specific'!$A$13:$E$85,2,0)&amp;""</f>
        <v>What payment processors/gateways does the system support?</v>
      </c>
      <c r="C296" s="52" t="str">
        <f>VLOOKUP($A296,'Case-Specific'!$A$13:$E$85,3,0)&amp;""</f>
        <v/>
      </c>
      <c r="D296" s="41" t="str">
        <f>IF(LEFT(VLOOKUP($A296,'Case-Specific'!$A$13:$E$85,5,0),21)='Auto Responses'!$A$73,'Auto Responses'!$A$74,VLOOKUP($A296,'Case-Specific'!$A$13:$E$85,4,0))&amp;""</f>
        <v/>
      </c>
      <c r="E296" s="350" t="str">
        <f>VLOOKUP($A296,'Case-Specific'!$A$13:$E$85,5,0)&amp;""</f>
        <v>Based on the response to REQU-06 on the "START HERE" tab, this question does not apply to this product or service.</v>
      </c>
      <c r="F296" s="202"/>
      <c r="G296" s="37" t="str">
        <f>VLOOKUP($A296,Questions!$A$2:$X$333,21,0)&amp;""</f>
        <v>Yes</v>
      </c>
      <c r="H296" s="192"/>
      <c r="I296" s="52" t="str">
        <f>VLOOKUP($A296,Questions!$A$2:$X$333,23,0)&amp;""</f>
        <v>Minor Importance</v>
      </c>
      <c r="J296" s="192"/>
      <c r="K296" s="55" t="b">
        <v>0</v>
      </c>
      <c r="L296" s="1"/>
    </row>
    <row r="297" spans="1:12" s="36" customFormat="1" ht="102">
      <c r="A297" s="25" t="str">
        <f>'Case-Specific'!A73</f>
        <v>PCID-11</v>
      </c>
      <c r="B297" s="26" t="str">
        <f>VLOOKUP($A297,'Case-Specific'!$A$13:$E$85,2,0)&amp;""</f>
        <v>Can the application be installed in a PCI DSS–compliant manner?</v>
      </c>
      <c r="C297" s="52" t="str">
        <f>VLOOKUP($A297,'Case-Specific'!$A$13:$E$85,3,0)&amp;""</f>
        <v/>
      </c>
      <c r="D297" s="41" t="str">
        <f>IF(LEFT(VLOOKUP($A297,'Case-Specific'!$A$13:$E$85,5,0),21)='Auto Responses'!$A$73,'Auto Responses'!$A$74,VLOOKUP($A297,'Case-Specific'!$A$13:$E$85,4,0))&amp;""</f>
        <v/>
      </c>
      <c r="E297" s="350" t="str">
        <f>VLOOKUP($A297,'Case-Specific'!$A$13:$E$85,5,0)&amp;""</f>
        <v>Based on the response to REQU-06 on the "START HERE" tab, this question does not apply to this product or service.</v>
      </c>
      <c r="F297" s="202"/>
      <c r="G297" s="37" t="str">
        <f>VLOOKUP($A297,Questions!$A$2:$X$333,21,0)&amp;""</f>
        <v>Yes</v>
      </c>
      <c r="H297" s="192"/>
      <c r="I297" s="52" t="str">
        <f>VLOOKUP($A297,Questions!$A$2:$X$333,23,0)&amp;""</f>
        <v>Minor Importance</v>
      </c>
      <c r="J297" s="192"/>
      <c r="K297" s="55" t="b">
        <v>0</v>
      </c>
      <c r="L297" s="1"/>
    </row>
    <row r="298" spans="1:12" s="36" customFormat="1" ht="102">
      <c r="A298" s="25" t="str">
        <f>'Case-Specific'!A74</f>
        <v>PCID-12</v>
      </c>
      <c r="B298" s="26" t="str">
        <f>VLOOKUP($A298,'Case-Specific'!$A$13:$E$85,2,0)&amp;""</f>
        <v>Include documentation describing the system's abilities to comply with the PCI DSS and any features or capabilities of the system that must be added or changed in order to operate in compliance with the standards.</v>
      </c>
      <c r="C298" s="324" t="str">
        <f>VLOOKUP($A298,'Case-Specific'!$A$13:$E$85,3,0)&amp;""</f>
        <v/>
      </c>
      <c r="D298" s="323" t="str">
        <f>IF(LEFT(VLOOKUP($A298,'Case-Specific'!$A$13:$E$85,5,0),21)='Auto Responses'!$A$73,'Auto Responses'!$A$74,VLOOKUP($A298,'Case-Specific'!$A$13:$E$85,4,0))&amp;""</f>
        <v/>
      </c>
      <c r="E298" s="350" t="str">
        <f>VLOOKUP($A298,'Case-Specific'!$A$13:$E$85,5,0)&amp;""</f>
        <v>Based on the response to REQU-06 on the "START HERE" tab, this question does not apply to this product or service.</v>
      </c>
      <c r="F298" s="202"/>
      <c r="G298" s="37" t="str">
        <f>VLOOKUP($A298,Questions!$A$2:$X$333,21,0)&amp;""</f>
        <v>Not scored</v>
      </c>
      <c r="H298" s="192"/>
      <c r="I298" s="52" t="str">
        <f>VLOOKUP($A298,Questions!$A$2:$X$333,23,0)&amp;""</f>
        <v>Minor Importance</v>
      </c>
      <c r="J298" s="192"/>
      <c r="K298" s="55" t="b">
        <v>0</v>
      </c>
      <c r="L298" s="1"/>
    </row>
    <row r="299" spans="1:12" s="1" customFormat="1" ht="18">
      <c r="A299" s="70" t="str">
        <f>VLOOKUP(LEFT($A300,4),'Auto Responses'!$N$4:$O$38,2,0)&amp;""</f>
        <v xml:space="preserve"> On-Premises Data Solutions</v>
      </c>
      <c r="B299" s="29"/>
      <c r="C299" s="38"/>
      <c r="D299" s="38"/>
      <c r="E299" s="351"/>
      <c r="F299" s="139" t="s">
        <v>1089</v>
      </c>
      <c r="G299" s="358" t="s">
        <v>925</v>
      </c>
      <c r="H299" s="358" t="s">
        <v>927</v>
      </c>
      <c r="I299" s="358" t="s">
        <v>19</v>
      </c>
      <c r="J299" s="358" t="s">
        <v>912</v>
      </c>
      <c r="K299" s="38"/>
    </row>
    <row r="300" spans="1:12" s="36" customFormat="1" ht="102">
      <c r="A300" s="25" t="str">
        <f>'Case-Specific'!A76</f>
        <v>OPEM-01</v>
      </c>
      <c r="B300" s="26" t="str">
        <f>VLOOKUP($A300,'Case-Specific'!$A$13:$E$85,2,0)&amp;""</f>
        <v>Do you support role-based access control (RBAC) for system administrators?</v>
      </c>
      <c r="C300" s="52" t="str">
        <f>VLOOKUP($A300,'Case-Specific'!$A$13:$E$85,3,0)&amp;""</f>
        <v/>
      </c>
      <c r="D300" s="41" t="str">
        <f>IF(LEFT(VLOOKUP($A300,'Case-Specific'!$A$13:$E$85,5,0),21)='Auto Responses'!$A$73,'Auto Responses'!$A$74,VLOOKUP($A300,'Case-Specific'!$A$13:$E$85,4,0))&amp;""</f>
        <v/>
      </c>
      <c r="E300" s="350" t="str">
        <f>VLOOKUP($A300,'Case-Specific'!$A$13:$E$85,5,0)&amp;""</f>
        <v>Based on the response to REQU-07 on the "START HERE" tab, this question does not apply to this product or service.</v>
      </c>
      <c r="F300" s="202"/>
      <c r="G300" s="37" t="str">
        <f>VLOOKUP($A300,Questions!$A$2:$X$333,21,0)&amp;""</f>
        <v>Yes</v>
      </c>
      <c r="H300" s="192"/>
      <c r="I300" s="52" t="str">
        <f>VLOOKUP($A300,Questions!$A$2:$X$333,23,0)&amp;""</f>
        <v>Standard Importance</v>
      </c>
      <c r="J300" s="192"/>
      <c r="K300" s="55" t="b">
        <v>0</v>
      </c>
      <c r="L300" s="1"/>
    </row>
    <row r="301" spans="1:12" s="36" customFormat="1" ht="102">
      <c r="A301" s="25" t="str">
        <f>'Case-Specific'!A77</f>
        <v>OPEM-02</v>
      </c>
      <c r="B301" s="26" t="str">
        <f>VLOOKUP($A301,'Case-Specific'!$A$13:$E$85,2,0)&amp;""</f>
        <v>Can your employees access customer systems remotely?</v>
      </c>
      <c r="C301" s="52" t="str">
        <f>VLOOKUP($A301,'Case-Specific'!$A$13:$E$85,3,0)&amp;""</f>
        <v/>
      </c>
      <c r="D301" s="41" t="str">
        <f>IF(LEFT(VLOOKUP($A301,'Case-Specific'!$A$13:$E$85,5,0),21)='Auto Responses'!$A$73,'Auto Responses'!$A$74,VLOOKUP($A301,'Case-Specific'!$A$13:$E$85,4,0))&amp;""</f>
        <v/>
      </c>
      <c r="E301" s="350" t="str">
        <f>VLOOKUP($A301,'Case-Specific'!$A$13:$E$85,5,0)&amp;""</f>
        <v>Based on the response to REQU-07 on the "START HERE" tab, this question does not apply to this product or service.</v>
      </c>
      <c r="F301" s="202"/>
      <c r="G301" s="37" t="str">
        <f>VLOOKUP($A301,Questions!$A$2:$X$333,21,0)&amp;""</f>
        <v>No</v>
      </c>
      <c r="H301" s="192"/>
      <c r="I301" s="52" t="str">
        <f>VLOOKUP($A301,Questions!$A$2:$X$333,23,0)&amp;""</f>
        <v>Standard Importance</v>
      </c>
      <c r="J301" s="192"/>
      <c r="K301" s="55" t="b">
        <v>0</v>
      </c>
      <c r="L301" s="1"/>
    </row>
    <row r="302" spans="1:12" s="36" customFormat="1" ht="102">
      <c r="A302" s="25" t="str">
        <f>'Case-Specific'!A78</f>
        <v>OPEM-03</v>
      </c>
      <c r="B302" s="26" t="str">
        <f>VLOOKUP($A302,'Case-Specific'!$A$13:$E$85,2,0)&amp;""</f>
        <v>Can you provide overall system and/or application architecture diagrams including a full description of the data communications architecture for all components of the system?</v>
      </c>
      <c r="C302" s="52" t="str">
        <f>VLOOKUP($A302,'Case-Specific'!$A$13:$E$85,3,0)&amp;""</f>
        <v/>
      </c>
      <c r="D302" s="41" t="str">
        <f>IF(LEFT(VLOOKUP($A302,'Case-Specific'!$A$13:$E$85,5,0),21)='Auto Responses'!$A$73,'Auto Responses'!$A$74,VLOOKUP($A302,'Case-Specific'!$A$13:$E$85,4,0))&amp;""</f>
        <v/>
      </c>
      <c r="E302" s="350" t="str">
        <f>VLOOKUP($A302,'Case-Specific'!$A$13:$E$85,5,0)&amp;""</f>
        <v>Based on the response to REQU-07 on the "START HERE" tab, this question does not apply to this product or service.</v>
      </c>
      <c r="F302" s="202"/>
      <c r="G302" s="37" t="str">
        <f>VLOOKUP($A302,Questions!$A$2:$X$333,21,0)&amp;""</f>
        <v>Yes</v>
      </c>
      <c r="H302" s="192"/>
      <c r="I302" s="52" t="str">
        <f>VLOOKUP($A302,Questions!$A$2:$X$333,23,0)&amp;""</f>
        <v>Standard Importance</v>
      </c>
      <c r="J302" s="192"/>
      <c r="K302" s="55" t="b">
        <v>0</v>
      </c>
      <c r="L302" s="1"/>
    </row>
    <row r="303" spans="1:12" s="36" customFormat="1" ht="102">
      <c r="A303" s="25" t="str">
        <f>'Case-Specific'!A79</f>
        <v>OPEM-04</v>
      </c>
      <c r="B303" s="26" t="str">
        <f>VLOOKUP($A303,'Case-Specific'!$A$13:$E$85,2,0)&amp;""</f>
        <v>Do you require remote management of the system?</v>
      </c>
      <c r="C303" s="52" t="str">
        <f>VLOOKUP($A303,'Case-Specific'!$A$13:$E$85,3,0)&amp;""</f>
        <v/>
      </c>
      <c r="D303" s="41" t="str">
        <f>IF(LEFT(VLOOKUP($A303,'Case-Specific'!$A$13:$E$85,5,0),21)='Auto Responses'!$A$73,'Auto Responses'!$A$74,VLOOKUP($A303,'Case-Specific'!$A$13:$E$85,4,0))&amp;""</f>
        <v/>
      </c>
      <c r="E303" s="350" t="str">
        <f>VLOOKUP($A303,'Case-Specific'!$A$13:$E$85,5,0)&amp;""</f>
        <v>Based on the response to REQU-07 on the "START HERE" tab, this question does not apply to this product or service.</v>
      </c>
      <c r="F303" s="202"/>
      <c r="G303" s="37" t="str">
        <f>VLOOKUP($A303,Questions!$A$2:$X$333,21,0)&amp;""</f>
        <v>No</v>
      </c>
      <c r="H303" s="192"/>
      <c r="I303" s="52" t="str">
        <f>VLOOKUP($A303,Questions!$A$2:$X$333,23,0)&amp;""</f>
        <v>Standard Importance</v>
      </c>
      <c r="J303" s="192"/>
      <c r="K303" s="55" t="b">
        <v>0</v>
      </c>
      <c r="L303" s="1"/>
    </row>
    <row r="304" spans="1:12" s="36" customFormat="1" ht="102">
      <c r="A304" s="25" t="str">
        <f>'Case-Specific'!A80</f>
        <v>OPEM-05</v>
      </c>
      <c r="B304" s="26" t="str">
        <f>VLOOKUP($A304,'Case-Specific'!$A$13:$E$85,2,0)&amp;""</f>
        <v>If you answered "yes" to OPEM-04, are your remote actions and changes logged or otherwise visible to the campus?</v>
      </c>
      <c r="C304" s="52" t="str">
        <f>VLOOKUP($A304,'Case-Specific'!$A$13:$E$85,3,0)&amp;""</f>
        <v/>
      </c>
      <c r="D304" s="41" t="str">
        <f>IF(LEFT(VLOOKUP($A304,'Case-Specific'!$A$13:$E$85,5,0),21)='Auto Responses'!$A$73,'Auto Responses'!$A$74,VLOOKUP($A304,'Case-Specific'!$A$13:$E$85,4,0))&amp;""</f>
        <v/>
      </c>
      <c r="E304" s="350" t="str">
        <f>VLOOKUP($A304,'Case-Specific'!$A$13:$E$85,5,0)&amp;""</f>
        <v>Based on the response to REQU-07 on the "START HERE" tab, this question does not apply to this product or service.</v>
      </c>
      <c r="F304" s="202"/>
      <c r="G304" s="37" t="str">
        <f>VLOOKUP($A304,Questions!$A$2:$X$333,21,0)&amp;""</f>
        <v>Yes</v>
      </c>
      <c r="H304" s="192"/>
      <c r="I304" s="52" t="str">
        <f>VLOOKUP($A304,Questions!$A$2:$X$333,23,0)&amp;""</f>
        <v>Standard Importance</v>
      </c>
      <c r="J304" s="192"/>
      <c r="K304" s="55" t="b">
        <v>0</v>
      </c>
      <c r="L304" s="1"/>
    </row>
    <row r="305" spans="1:12" s="36" customFormat="1" ht="102">
      <c r="A305" s="25" t="str">
        <f>'Case-Specific'!A81</f>
        <v>OPEM-06</v>
      </c>
      <c r="B305" s="26" t="str">
        <f>VLOOKUP($A305,'Case-Specific'!$A$13:$E$85,2,0)&amp;""</f>
        <v>If you maintain remote access to the system, will you handle data in a FERPA-compliant manner?</v>
      </c>
      <c r="C305" s="52" t="str">
        <f>VLOOKUP($A305,'Case-Specific'!$A$13:$E$85,3,0)&amp;""</f>
        <v/>
      </c>
      <c r="D305" s="41" t="str">
        <f>IF(LEFT(VLOOKUP($A305,'Case-Specific'!$A$13:$E$85,5,0),21)='Auto Responses'!$A$73,'Auto Responses'!$A$74,VLOOKUP($A305,'Case-Specific'!$A$13:$E$85,4,0))&amp;""</f>
        <v/>
      </c>
      <c r="E305" s="350" t="str">
        <f>VLOOKUP($A305,'Case-Specific'!$A$13:$E$85,5,0)&amp;""</f>
        <v>Based on the response to REQU-07 on the "START HERE" tab, this question does not apply to this product or service.</v>
      </c>
      <c r="F305" s="202"/>
      <c r="G305" s="37" t="str">
        <f>VLOOKUP($A305,Questions!$A$2:$X$333,21,0)&amp;""</f>
        <v>Yes</v>
      </c>
      <c r="H305" s="192"/>
      <c r="I305" s="52" t="str">
        <f>VLOOKUP($A305,Questions!$A$2:$X$333,23,0)&amp;""</f>
        <v>Standard Importance</v>
      </c>
      <c r="J305" s="192"/>
      <c r="K305" s="55" t="b">
        <v>0</v>
      </c>
      <c r="L305" s="1"/>
    </row>
    <row r="306" spans="1:12" s="36" customFormat="1" ht="102">
      <c r="A306" s="25" t="str">
        <f>'Case-Specific'!A82</f>
        <v>OPEM-07</v>
      </c>
      <c r="B306" s="26" t="str">
        <f>VLOOKUP($A306,'Case-Specific'!$A$13:$E$85,2,0)&amp;""</f>
        <v>Do you support campus status monitoring through SNMPv3 or other means?</v>
      </c>
      <c r="C306" s="52" t="str">
        <f>VLOOKUP($A306,'Case-Specific'!$A$13:$E$85,3,0)&amp;""</f>
        <v/>
      </c>
      <c r="D306" s="41" t="str">
        <f>IF(LEFT(VLOOKUP($A306,'Case-Specific'!$A$13:$E$85,5,0),21)='Auto Responses'!$A$73,'Auto Responses'!$A$74,VLOOKUP($A306,'Case-Specific'!$A$13:$E$85,4,0))&amp;""</f>
        <v/>
      </c>
      <c r="E306" s="352" t="str">
        <f>VLOOKUP($A306,'Case-Specific'!$A$13:$E$85,5,0)&amp;""</f>
        <v>Based on the response to REQU-07 on the "START HERE" tab, this question does not apply to this product or service.</v>
      </c>
      <c r="F306" s="202"/>
      <c r="G306" s="37" t="str">
        <f>VLOOKUP($A306,Questions!$A$2:$X$333,21,0)&amp;""</f>
        <v>Yes</v>
      </c>
      <c r="H306" s="192"/>
      <c r="I306" s="52" t="str">
        <f>VLOOKUP($A306,Questions!$A$2:$X$333,23,0)&amp;""</f>
        <v>Standard Importance</v>
      </c>
      <c r="J306" s="192"/>
      <c r="K306" s="55" t="b">
        <v>0</v>
      </c>
      <c r="L306" s="1"/>
    </row>
    <row r="307" spans="1:12" s="36" customFormat="1" ht="102">
      <c r="A307" s="25" t="str">
        <f>'Case-Specific'!A83</f>
        <v>OPEM-08</v>
      </c>
      <c r="B307" s="26" t="str">
        <f>VLOOKUP($A307,'Case-Specific'!$A$13:$E$85,2,0)&amp;""</f>
        <v>Describe or provide a reference to any other safeguards used to monitor for malicious activity.</v>
      </c>
      <c r="C307" s="324" t="str">
        <f>VLOOKUP($A307,'Case-Specific'!$A$13:$E$85,3,0)&amp;""</f>
        <v/>
      </c>
      <c r="D307" s="325" t="str">
        <f>IF(LEFT(VLOOKUP($A307,'Case-Specific'!$A$13:$E$85,5,0),21)='Auto Responses'!$A$73,'Auto Responses'!$A$74,VLOOKUP($A307,'Case-Specific'!$A$13:$E$85,4,0))&amp;""</f>
        <v/>
      </c>
      <c r="E307" s="352" t="str">
        <f>VLOOKUP($A307,'Case-Specific'!$A$13:$E$85,5,0)&amp;""</f>
        <v>Based on the response to REQU-07 on the "START HERE" tab, this question does not apply to this product or service.</v>
      </c>
      <c r="F307" s="202"/>
      <c r="G307" s="37" t="str">
        <f>VLOOKUP($A307,Questions!$A$2:$X$333,21,0)&amp;""</f>
        <v>Not scored</v>
      </c>
      <c r="H307" s="192"/>
      <c r="I307" s="52" t="str">
        <f>VLOOKUP($A307,Questions!$A$2:$X$333,23,0)&amp;""</f>
        <v>Standard Importance</v>
      </c>
      <c r="J307" s="192"/>
      <c r="K307" s="55" t="b">
        <v>0</v>
      </c>
      <c r="L307" s="1"/>
    </row>
    <row r="308" spans="1:12" s="36" customFormat="1" ht="102">
      <c r="A308" s="25" t="str">
        <f>'Case-Specific'!A84</f>
        <v>OPEM-09</v>
      </c>
      <c r="B308" s="26" t="str">
        <f>VLOOKUP($A308,'Case-Specific'!$A$13:$E$85,2,0)&amp;""</f>
        <v>Describe how long your organization has conducted business in this area.</v>
      </c>
      <c r="C308" s="324" t="str">
        <f>VLOOKUP($A308,'Case-Specific'!$A$13:$E$85,3,0)&amp;""</f>
        <v/>
      </c>
      <c r="D308" s="325" t="str">
        <f>IF(LEFT(VLOOKUP($A308,'Case-Specific'!$A$13:$E$85,5,0),21)='Auto Responses'!$A$73,'Auto Responses'!$A$74,VLOOKUP($A308,'Case-Specific'!$A$13:$E$85,4,0))&amp;""</f>
        <v/>
      </c>
      <c r="E308" s="352" t="str">
        <f>VLOOKUP($A308,'Case-Specific'!$A$13:$E$85,5,0)&amp;""</f>
        <v>Based on the response to REQU-07 on the "START HERE" tab, this question does not apply to this product or service.</v>
      </c>
      <c r="F308" s="202"/>
      <c r="G308" s="37" t="str">
        <f>VLOOKUP($A308,Questions!$A$2:$X$333,21,0)&amp;""</f>
        <v>Not scored</v>
      </c>
      <c r="H308" s="192"/>
      <c r="I308" s="52" t="str">
        <f>VLOOKUP($A308,Questions!$A$2:$X$333,23,0)&amp;""</f>
        <v>Minor Importance</v>
      </c>
      <c r="J308" s="192"/>
      <c r="K308" s="55" t="b">
        <v>0</v>
      </c>
      <c r="L308" s="1"/>
    </row>
    <row r="309" spans="1:12" s="36" customFormat="1" ht="103" thickBot="1">
      <c r="A309" s="25" t="str">
        <f>'Case-Specific'!A85</f>
        <v>OPEM-10</v>
      </c>
      <c r="B309" s="26" t="str">
        <f>VLOOKUP($A309,'Case-Specific'!$A$13:$E$85,2,0)&amp;""</f>
        <v>Do you have existing higher education customers?</v>
      </c>
      <c r="C309" s="52" t="str">
        <f>VLOOKUP($A309,'Case-Specific'!$A$13:$E$85,3,0)&amp;""</f>
        <v/>
      </c>
      <c r="D309" s="41" t="str">
        <f>IF(LEFT(VLOOKUP($A309,'Case-Specific'!$A$13:$E$85,5,0),21)='Auto Responses'!$A$73,'Auto Responses'!$A$74,VLOOKUP($A309,'Case-Specific'!$A$13:$E$85,4,0))&amp;""</f>
        <v/>
      </c>
      <c r="E309" s="352" t="str">
        <f>VLOOKUP($A309,'Case-Specific'!$A$13:$E$85,5,0)&amp;""</f>
        <v>Based on the response to REQU-07 on the "START HERE" tab, this question does not apply to this product or service.</v>
      </c>
      <c r="F309" s="202"/>
      <c r="G309" s="37" t="str">
        <f>VLOOKUP($A309,Questions!$A$2:$X$333,21,0)&amp;""</f>
        <v>Yes</v>
      </c>
      <c r="H309" s="192"/>
      <c r="I309" s="52" t="str">
        <f>VLOOKUP($A309,Questions!$A$2:$X$333,23,0)&amp;""</f>
        <v>Minor Importance</v>
      </c>
      <c r="J309" s="192"/>
      <c r="K309" s="56" t="b">
        <v>0</v>
      </c>
      <c r="L309" s="1"/>
    </row>
    <row r="310" spans="1:12" s="1" customFormat="1" ht="18">
      <c r="A310" s="70" t="str">
        <f>VLOOKUP(LEFT($A311,4),'Auto Responses'!$N$4:$O$38,2,0)&amp;""</f>
        <v xml:space="preserve"> AI Qualifying Questions</v>
      </c>
      <c r="B310" s="29"/>
      <c r="C310" s="38"/>
      <c r="D310" s="38"/>
      <c r="E310" s="351"/>
      <c r="F310" s="139" t="s">
        <v>1089</v>
      </c>
      <c r="G310" s="358" t="s">
        <v>925</v>
      </c>
      <c r="H310" s="358" t="s">
        <v>927</v>
      </c>
      <c r="I310" s="358" t="s">
        <v>19</v>
      </c>
      <c r="J310" s="358" t="s">
        <v>912</v>
      </c>
      <c r="K310" s="38"/>
    </row>
    <row r="311" spans="1:12" s="36" customFormat="1" ht="102">
      <c r="A311" s="25" t="str">
        <f>AI!$A$20</f>
        <v>AIQU-01</v>
      </c>
      <c r="B311" s="26" t="str">
        <f>VLOOKUP($A311,AI!$A$13:$E$55,2,0)&amp;""</f>
        <v>Does your solution leverage machine learning (ML) or do you plan to do so in the next 12 months?</v>
      </c>
      <c r="C311" s="52" t="str">
        <f>VLOOKUP($A311,AI!$A$13:$E$55,3,0)&amp;""</f>
        <v/>
      </c>
      <c r="D311" s="41" t="str">
        <f>IF(LEFT(VLOOKUP($A311,AI!$A$13:$E$55,5,0),21)='Auto Responses'!$A$73,'Auto Responses'!$A$74,VLOOKUP($A311,AI!$A$13:$E$55,4,0))&amp;""</f>
        <v/>
      </c>
      <c r="E311" s="350" t="str">
        <f>VLOOKUP($A311,AI!$A$13:$E$55,5,0)&amp;""</f>
        <v>Based on the response to REQU-04 on the "START HERE" tab, this question does not apply to this product or service.</v>
      </c>
      <c r="F311" s="202"/>
      <c r="G311" s="37" t="str">
        <f>VLOOKUP($A311,Questions!$A$2:$X$333,21,0)&amp;""</f>
        <v>Not scored</v>
      </c>
      <c r="H311" s="192"/>
      <c r="I311" s="52" t="str">
        <f>VLOOKUP($A311,Questions!$A$2:$X$333,23,0)&amp;""</f>
        <v/>
      </c>
      <c r="J311" s="192"/>
      <c r="K311" s="55" t="b">
        <v>0</v>
      </c>
      <c r="L311" s="1"/>
    </row>
    <row r="312" spans="1:12" s="36" customFormat="1" ht="102">
      <c r="A312" s="25" t="str">
        <f>AI!$A$21</f>
        <v>AIQU-02</v>
      </c>
      <c r="B312" s="26" t="str">
        <f>VLOOKUP($A312,AI!$A$13:$E$55,2,0)&amp;""</f>
        <v>Does your solution leverage a large language model (LLM) or do you plan to do so in the next 12 months?</v>
      </c>
      <c r="C312" s="52" t="str">
        <f>VLOOKUP($A312,AI!$A$13:$E$55,3,0)&amp;""</f>
        <v/>
      </c>
      <c r="D312" s="41" t="str">
        <f>IF(LEFT(VLOOKUP($A312,AI!$A$13:$E$55,5,0),21)='Auto Responses'!$A$73,'Auto Responses'!$A$74,VLOOKUP($A312,AI!$A$13:$E$55,4,0))&amp;""</f>
        <v/>
      </c>
      <c r="E312" s="350" t="str">
        <f>VLOOKUP($A312,AI!$A$13:$E$55,5,0)&amp;""</f>
        <v>Based on the response to REQU-04 on the "START HERE" tab, this question does not apply to this product or service.</v>
      </c>
      <c r="F312" s="202"/>
      <c r="G312" s="37" t="str">
        <f>VLOOKUP($A312,Questions!$A$2:$X$333,21,0)&amp;""</f>
        <v>Not scored</v>
      </c>
      <c r="H312" s="192"/>
      <c r="I312" s="52" t="str">
        <f>VLOOKUP($A312,Questions!$A$2:$X$333,23,0)&amp;""</f>
        <v/>
      </c>
      <c r="J312" s="192"/>
      <c r="K312" s="55" t="b">
        <v>0</v>
      </c>
      <c r="L312" s="1"/>
    </row>
    <row r="313" spans="1:12" s="1" customFormat="1" ht="18">
      <c r="A313" s="70" t="str">
        <f>VLOOKUP(LEFT($A314,4),'Auto Responses'!$N$4:$O$38,2,0)&amp;""</f>
        <v xml:space="preserve"> General AI Questions</v>
      </c>
      <c r="B313" s="29"/>
      <c r="C313" s="38"/>
      <c r="D313" s="38"/>
      <c r="E313" s="351"/>
      <c r="F313" s="139" t="s">
        <v>1089</v>
      </c>
      <c r="G313" s="358" t="s">
        <v>925</v>
      </c>
      <c r="H313" s="358" t="s">
        <v>927</v>
      </c>
      <c r="I313" s="358" t="s">
        <v>19</v>
      </c>
      <c r="J313" s="358" t="s">
        <v>912</v>
      </c>
      <c r="K313" s="38"/>
    </row>
    <row r="314" spans="1:12" s="36" customFormat="1" ht="102">
      <c r="A314" s="25" t="str">
        <f>AI!$A$23</f>
        <v>AIGN-01</v>
      </c>
      <c r="B314" s="26" t="str">
        <f>VLOOKUP($A314,AI!$A$13:$E$55,2,0)&amp;""</f>
        <v>Does your solution have an AI risk model when developing or implementing your solution's AI model?*</v>
      </c>
      <c r="C314" s="52" t="str">
        <f>VLOOKUP($A314,AI!$A$13:$E$55,3,0)&amp;""</f>
        <v/>
      </c>
      <c r="D314" s="41" t="str">
        <f>IF(LEFT(VLOOKUP($A314,AI!$A$13:$E$55,5,0),21)='Auto Responses'!$A$73,'Auto Responses'!$A$74,VLOOKUP($A314,AI!$A$13:$E$55,4,0))&amp;""</f>
        <v/>
      </c>
      <c r="E314" s="350" t="str">
        <f>VLOOKUP($A314,AI!$A$13:$E$55,5,0)&amp;""</f>
        <v>Based on the response to REQU-04 on the "START HERE" tab, this question does not apply to this product or service.</v>
      </c>
      <c r="F314" s="202"/>
      <c r="G314" s="37" t="str">
        <f>VLOOKUP($A314,Questions!$A$2:$X$333,21,0)&amp;""</f>
        <v>Yes</v>
      </c>
      <c r="H314" s="192"/>
      <c r="I314" s="52" t="str">
        <f>VLOOKUP($A314,Questions!$A$2:$X$333,23,0)&amp;""</f>
        <v>Critical Importance</v>
      </c>
      <c r="J314" s="192"/>
      <c r="K314" s="55" t="b">
        <v>0</v>
      </c>
      <c r="L314" s="1"/>
    </row>
    <row r="315" spans="1:12" s="36" customFormat="1" ht="102">
      <c r="A315" s="25" t="str">
        <f>AI!$A$24</f>
        <v>AIGN-02</v>
      </c>
      <c r="B315" s="26" t="str">
        <f>VLOOKUP($A315,AI!$A$13:$E$55,2,0)&amp;""</f>
        <v>Can your solution's AI features be disabled by tenant and/or user?*</v>
      </c>
      <c r="C315" s="52" t="str">
        <f>VLOOKUP($A315,AI!$A$13:$E$55,3,0)&amp;""</f>
        <v/>
      </c>
      <c r="D315" s="41" t="str">
        <f>IF(LEFT(VLOOKUP($A315,AI!$A$13:$E$55,5,0),21)='Auto Responses'!$A$73,'Auto Responses'!$A$74,VLOOKUP($A315,AI!$A$13:$E$55,4,0))&amp;""</f>
        <v/>
      </c>
      <c r="E315" s="350" t="str">
        <f>VLOOKUP($A315,AI!$A$13:$E$55,5,0)&amp;""</f>
        <v>Based on the response to REQU-04 on the "START HERE" tab, this question does not apply to this product or service.</v>
      </c>
      <c r="F315" s="202"/>
      <c r="G315" s="37" t="str">
        <f>VLOOKUP($A315,Questions!$A$2:$X$333,21,0)&amp;""</f>
        <v>Yes</v>
      </c>
      <c r="H315" s="192"/>
      <c r="I315" s="52" t="str">
        <f>VLOOKUP($A315,Questions!$A$2:$X$333,23,0)&amp;""</f>
        <v>Critical Importance</v>
      </c>
      <c r="J315" s="192"/>
      <c r="K315" s="55" t="b">
        <v>0</v>
      </c>
      <c r="L315" s="1"/>
    </row>
    <row r="316" spans="1:12" s="36" customFormat="1" ht="102">
      <c r="A316" s="25" t="str">
        <f>AI!$A$25</f>
        <v>AIGN-03</v>
      </c>
      <c r="B316" s="26" t="str">
        <f>VLOOKUP($A316,AI!$A$13:$E$55,2,0)&amp;""</f>
        <v>Have your staff completed responsible AI training?*</v>
      </c>
      <c r="C316" s="52" t="str">
        <f>VLOOKUP($A316,AI!$A$13:$E$55,3,0)&amp;""</f>
        <v/>
      </c>
      <c r="D316" s="41" t="str">
        <f>IF(LEFT(VLOOKUP($A316,AI!$A$13:$E$55,5,0),21)='Auto Responses'!$A$73,'Auto Responses'!$A$74,VLOOKUP($A316,AI!$A$13:$E$55,4,0))&amp;""</f>
        <v/>
      </c>
      <c r="E316" s="350" t="str">
        <f>VLOOKUP($A316,AI!$A$13:$E$55,5,0)&amp;""</f>
        <v>Based on the response to REQU-04 on the "START HERE" tab, this question does not apply to this product or service.</v>
      </c>
      <c r="F316" s="202"/>
      <c r="G316" s="37" t="str">
        <f>VLOOKUP($A316,Questions!$A$2:$X$333,21,0)&amp;""</f>
        <v>Yes</v>
      </c>
      <c r="H316" s="192"/>
      <c r="I316" s="52" t="str">
        <f>VLOOKUP($A316,Questions!$A$2:$X$333,23,0)&amp;""</f>
        <v>Critical Importance</v>
      </c>
      <c r="J316" s="192"/>
      <c r="K316" s="55" t="b">
        <v>0</v>
      </c>
      <c r="L316" s="1"/>
    </row>
    <row r="317" spans="1:12" s="36" customFormat="1" ht="102">
      <c r="A317" s="25" t="str">
        <f>AI!$A$26</f>
        <v>AIGN-04</v>
      </c>
      <c r="B317" s="26" t="str">
        <f>VLOOKUP($A317,AI!$A$13:$E$55,2,0)&amp;""</f>
        <v>Please describe the capabilities of your solution's AI features.</v>
      </c>
      <c r="C317" s="324" t="str">
        <f>VLOOKUP($A317,AI!$A$13:$E$55,3,0)&amp;""</f>
        <v/>
      </c>
      <c r="D317" s="325" t="str">
        <f>IF(LEFT(VLOOKUP($A317,AI!$A$13:$E$55,5,0),21)='Auto Responses'!$A$73,'Auto Responses'!$A$74,VLOOKUP($A317,AI!$A$13:$E$55,4,0))&amp;""</f>
        <v/>
      </c>
      <c r="E317" s="350" t="str">
        <f>VLOOKUP($A317,AI!$A$13:$E$55,5,0)&amp;""</f>
        <v>Based on the response to REQU-04 on the "START HERE" tab, this question does not apply to this product or service.</v>
      </c>
      <c r="F317" s="202"/>
      <c r="G317" s="37" t="str">
        <f>VLOOKUP($A317,Questions!$A$2:$X$333,21,0)&amp;""</f>
        <v>Not scored</v>
      </c>
      <c r="H317" s="192"/>
      <c r="I317" s="52" t="str">
        <f>VLOOKUP($A317,Questions!$A$2:$X$333,23,0)&amp;""</f>
        <v>Standard Importance</v>
      </c>
      <c r="J317" s="192"/>
      <c r="K317" s="55" t="b">
        <v>0</v>
      </c>
      <c r="L317" s="1"/>
    </row>
    <row r="318" spans="1:12" s="36" customFormat="1" ht="102">
      <c r="A318" s="25" t="str">
        <f>AI!$A$27</f>
        <v>AIGN-05</v>
      </c>
      <c r="B318" s="26" t="str">
        <f>VLOOKUP($A318,AI!$A$13:$E$55,2,0)&amp;""</f>
        <v>Does your solution support business rules to protect sensitive data from being ingested by the AI model?</v>
      </c>
      <c r="C318" s="52" t="str">
        <f>VLOOKUP($A318,AI!$A$13:$E$55,3,0)&amp;""</f>
        <v/>
      </c>
      <c r="D318" s="41" t="str">
        <f>IF(LEFT(VLOOKUP($A318,AI!$A$13:$E$55,5,0),21)='Auto Responses'!$A$73,'Auto Responses'!$A$74,VLOOKUP($A318,AI!$A$13:$E$55,4,0))&amp;""</f>
        <v/>
      </c>
      <c r="E318" s="350" t="str">
        <f>VLOOKUP($A318,AI!$A$13:$E$55,5,0)&amp;""</f>
        <v>Based on the response to REQU-04 on the "START HERE" tab, this question does not apply to this product or service.</v>
      </c>
      <c r="F318" s="202"/>
      <c r="G318" s="37" t="str">
        <f>VLOOKUP($A318,Questions!$A$2:$X$333,21,0)&amp;""</f>
        <v>Yes</v>
      </c>
      <c r="H318" s="192"/>
      <c r="I318" s="52" t="str">
        <f>VLOOKUP($A318,Questions!$A$2:$X$333,23,0)&amp;""</f>
        <v>Standard Importance</v>
      </c>
      <c r="J318" s="192"/>
      <c r="K318" s="55" t="b">
        <v>0</v>
      </c>
      <c r="L318" s="1"/>
    </row>
    <row r="319" spans="1:12" s="1" customFormat="1" ht="18">
      <c r="A319" s="70" t="str">
        <f>VLOOKUP(LEFT($A320,4),'Auto Responses'!$N$4:$O$38,2,0)&amp;""</f>
        <v xml:space="preserve"> AI Policy</v>
      </c>
      <c r="B319" s="29"/>
      <c r="C319" s="38"/>
      <c r="D319" s="38"/>
      <c r="E319" s="351"/>
      <c r="F319" s="139" t="s">
        <v>1089</v>
      </c>
      <c r="G319" s="358" t="s">
        <v>925</v>
      </c>
      <c r="H319" s="358" t="s">
        <v>927</v>
      </c>
      <c r="I319" s="358" t="s">
        <v>19</v>
      </c>
      <c r="J319" s="358" t="s">
        <v>912</v>
      </c>
      <c r="K319" s="38"/>
    </row>
    <row r="320" spans="1:12" s="36" customFormat="1" ht="102">
      <c r="A320" s="25" t="str">
        <f>AI!$A$29</f>
        <v>AIPL-01</v>
      </c>
      <c r="B320" s="26" t="str">
        <f>VLOOKUP($A320,AI!$A$13:$E$55,2,0)&amp;""</f>
        <v>Are your AI developer's policies, processes, procedures, and practices across the organization related to the mapping, measuring, and managing of AI risks conspicuously posted, unambiguous, and implemented effectively?*</v>
      </c>
      <c r="C320" s="52" t="str">
        <f>VLOOKUP($A320,AI!$A$13:$E$55,3,0)&amp;""</f>
        <v/>
      </c>
      <c r="D320" s="41" t="str">
        <f>IF(LEFT(VLOOKUP($A320,AI!$A$13:$E$55,5,0),21)='Auto Responses'!$A$73,'Auto Responses'!$A$74,VLOOKUP($A320,AI!$A$13:$E$55,4,0))&amp;""</f>
        <v/>
      </c>
      <c r="E320" s="350" t="str">
        <f>VLOOKUP($A320,AI!$A$13:$E$55,5,0)&amp;""</f>
        <v>Based on the response to REQU-04 on the "START HERE" tab, this question does not apply to this product or service.</v>
      </c>
      <c r="F320" s="202"/>
      <c r="G320" s="37" t="str">
        <f>VLOOKUP($A320,Questions!$A$2:$X$333,21,0)&amp;""</f>
        <v>Yes</v>
      </c>
      <c r="H320" s="192"/>
      <c r="I320" s="52" t="str">
        <f>VLOOKUP($A320,Questions!$A$2:$X$333,23,0)&amp;""</f>
        <v>Critical Importance</v>
      </c>
      <c r="J320" s="192"/>
      <c r="K320" s="55" t="b">
        <v>0</v>
      </c>
      <c r="L320" s="1"/>
    </row>
    <row r="321" spans="1:12" s="36" customFormat="1" ht="102">
      <c r="A321" s="25" t="str">
        <f>AI!$A$30</f>
        <v>AIPL-02</v>
      </c>
      <c r="B321" s="26" t="str">
        <f>VLOOKUP($A321,AI!$A$13:$E$55,2,0)&amp;""</f>
        <v>Have you identified and measured AI risks?*</v>
      </c>
      <c r="C321" s="52" t="str">
        <f>VLOOKUP($A321,AI!$A$13:$E$55,3,0)&amp;""</f>
        <v/>
      </c>
      <c r="D321" s="41" t="str">
        <f>IF(LEFT(VLOOKUP($A321,AI!$A$13:$E$55,5,0),21)='Auto Responses'!$A$73,'Auto Responses'!$A$74,VLOOKUP($A321,AI!$A$13:$E$55,4,0))&amp;""</f>
        <v/>
      </c>
      <c r="E321" s="350" t="str">
        <f>VLOOKUP($A321,AI!$A$13:$E$55,5,0)&amp;""</f>
        <v>Based on the response to REQU-04 on the "START HERE" tab, this question does not apply to this product or service.</v>
      </c>
      <c r="F321" s="202"/>
      <c r="G321" s="37" t="str">
        <f>VLOOKUP($A321,Questions!$A$2:$X$333,21,0)&amp;""</f>
        <v>Yes</v>
      </c>
      <c r="H321" s="192"/>
      <c r="I321" s="52" t="str">
        <f>VLOOKUP($A321,Questions!$A$2:$X$333,23,0)&amp;""</f>
        <v>Critical Importance</v>
      </c>
      <c r="J321" s="192"/>
      <c r="K321" s="55" t="b">
        <v>0</v>
      </c>
      <c r="L321" s="1"/>
    </row>
    <row r="322" spans="1:12" s="36" customFormat="1" ht="102">
      <c r="A322" s="25" t="str">
        <f>AI!$A$31</f>
        <v>AIPL-03</v>
      </c>
      <c r="B322" s="26" t="str">
        <f>VLOOKUP($A322,AI!$A$13:$E$55,2,0)&amp;""</f>
        <v>In the event of an incident, can your solution's AI features be disabled in a timely manner?*</v>
      </c>
      <c r="C322" s="52" t="str">
        <f>VLOOKUP($A322,AI!$A$13:$E$55,3,0)&amp;""</f>
        <v/>
      </c>
      <c r="D322" s="41" t="str">
        <f>IF(LEFT(VLOOKUP($A322,AI!$A$13:$E$55,5,0),21)='Auto Responses'!$A$73,'Auto Responses'!$A$74,VLOOKUP($A322,AI!$A$13:$E$55,4,0))&amp;""</f>
        <v/>
      </c>
      <c r="E322" s="350" t="str">
        <f>VLOOKUP($A322,AI!$A$13:$E$55,5,0)&amp;""</f>
        <v>Based on the response to REQU-04 on the "START HERE" tab, this question does not apply to this product or service.</v>
      </c>
      <c r="F322" s="202"/>
      <c r="G322" s="37" t="str">
        <f>VLOOKUP($A322,Questions!$A$2:$X$333,21,0)&amp;""</f>
        <v>Yes</v>
      </c>
      <c r="H322" s="192"/>
      <c r="I322" s="52" t="str">
        <f>VLOOKUP($A322,Questions!$A$2:$X$333,23,0)&amp;""</f>
        <v>Critical Importance</v>
      </c>
      <c r="J322" s="192"/>
      <c r="K322" s="55" t="b">
        <v>0</v>
      </c>
      <c r="L322" s="1"/>
    </row>
    <row r="323" spans="1:12" s="36" customFormat="1" ht="102">
      <c r="A323" s="25" t="str">
        <f>AI!$A$32</f>
        <v>AIPL-04</v>
      </c>
      <c r="B323" s="26" t="str">
        <f>VLOOKUP($A323,AI!$A$13:$E$55,2,0)&amp;""</f>
        <v>If disabled because of an incident, can your solution's AI features be re-enabled in a timely manner?*</v>
      </c>
      <c r="C323" s="52" t="str">
        <f>VLOOKUP($A323,AI!$A$13:$E$55,3,0)&amp;""</f>
        <v/>
      </c>
      <c r="D323" s="41" t="str">
        <f>IF(LEFT(VLOOKUP($A323,AI!$A$13:$E$55,5,0),21)='Auto Responses'!$A$73,'Auto Responses'!$A$74,VLOOKUP($A323,AI!$A$13:$E$55,4,0))&amp;""</f>
        <v/>
      </c>
      <c r="E323" s="350" t="str">
        <f>VLOOKUP($A323,AI!$A$13:$E$55,5,0)&amp;""</f>
        <v>Based on the response to REQU-04 on the "START HERE" tab, this question does not apply to this product or service.</v>
      </c>
      <c r="F323" s="202"/>
      <c r="G323" s="37" t="str">
        <f>VLOOKUP($A323,Questions!$A$2:$X$333,21,0)&amp;""</f>
        <v>Yes</v>
      </c>
      <c r="H323" s="192"/>
      <c r="I323" s="52" t="str">
        <f>VLOOKUP($A323,Questions!$A$2:$X$333,23,0)&amp;""</f>
        <v>Critical Importance</v>
      </c>
      <c r="J323" s="192"/>
      <c r="K323" s="55" t="b">
        <v>0</v>
      </c>
      <c r="L323" s="1"/>
    </row>
    <row r="324" spans="1:12" s="36" customFormat="1" ht="102">
      <c r="A324" s="25" t="str">
        <f>AI!$A$33</f>
        <v>AIPL-05</v>
      </c>
      <c r="B324" s="26" t="str">
        <f>VLOOKUP($A324,AI!$A$13:$E$55,2,0)&amp;""</f>
        <v>Do you have documented technical and procedural processes to address potential negative impacts of AI as described by the AI Risk Management Framework (RMF)?</v>
      </c>
      <c r="C324" s="52" t="str">
        <f>VLOOKUP($A324,AI!$A$13:$E$55,3,0)&amp;""</f>
        <v/>
      </c>
      <c r="D324" s="41" t="str">
        <f>IF(LEFT(VLOOKUP($A324,AI!$A$13:$E$55,5,0),21)='Auto Responses'!$A$73,'Auto Responses'!$A$74,VLOOKUP($A324,AI!$A$13:$E$55,4,0))&amp;""</f>
        <v/>
      </c>
      <c r="E324" s="350" t="str">
        <f>VLOOKUP($A324,AI!$A$13:$E$55,5,0)&amp;""</f>
        <v>Based on the response to REQU-04 on the "START HERE" tab, this question does not apply to this product or service.</v>
      </c>
      <c r="F324" s="202"/>
      <c r="G324" s="37" t="str">
        <f>VLOOKUP($A324,Questions!$A$2:$X$333,21,0)&amp;""</f>
        <v>Yes</v>
      </c>
      <c r="H324" s="192"/>
      <c r="I324" s="52" t="str">
        <f>VLOOKUP($A324,Questions!$A$2:$X$333,23,0)&amp;""</f>
        <v>Minor Importance</v>
      </c>
      <c r="J324" s="192"/>
      <c r="K324" s="55" t="b">
        <v>0</v>
      </c>
      <c r="L324" s="1"/>
    </row>
    <row r="325" spans="1:12" s="1" customFormat="1" ht="18">
      <c r="A325" s="70" t="str">
        <f>VLOOKUP(LEFT($A326,4),'Auto Responses'!$N$4:$O$38,2,0)&amp;""</f>
        <v xml:space="preserve"> AI Data Security</v>
      </c>
      <c r="B325" s="29"/>
      <c r="C325" s="38"/>
      <c r="D325" s="38"/>
      <c r="E325" s="351"/>
      <c r="F325" s="139" t="s">
        <v>1089</v>
      </c>
      <c r="G325" s="358" t="s">
        <v>925</v>
      </c>
      <c r="H325" s="358" t="s">
        <v>927</v>
      </c>
      <c r="I325" s="358" t="s">
        <v>19</v>
      </c>
      <c r="J325" s="358" t="s">
        <v>912</v>
      </c>
      <c r="K325" s="38"/>
    </row>
    <row r="326" spans="1:12" s="36" customFormat="1" ht="102">
      <c r="A326" s="25" t="str">
        <f>AI!$A$35</f>
        <v>AISC-01</v>
      </c>
      <c r="B326" s="26" t="str">
        <f>VLOOKUP($A326,AI!$A$13:$E$55,2,0)&amp;""</f>
        <v>If sensitive data is introduced to your solution's AI model, can the data be removed from the AI model by request?*</v>
      </c>
      <c r="C326" s="52" t="str">
        <f>VLOOKUP($A326,AI!$A$13:$E$55,3,0)&amp;""</f>
        <v/>
      </c>
      <c r="D326" s="41" t="str">
        <f>IF(LEFT(VLOOKUP($A326,AI!$A$13:$E$55,5,0),21)='Auto Responses'!$A$73,'Auto Responses'!$A$74,VLOOKUP($A326,AI!$A$13:$E$55,4,0))&amp;""</f>
        <v/>
      </c>
      <c r="E326" s="350" t="str">
        <f>VLOOKUP($A326,AI!$A$13:$E$55,5,0)&amp;""</f>
        <v>Based on the response to REQU-04 on the "START HERE" tab, this question does not apply to this product or service.</v>
      </c>
      <c r="F326" s="202"/>
      <c r="G326" s="37" t="str">
        <f>VLOOKUP($A326,Questions!$A$2:$X$333,21,0)&amp;""</f>
        <v>Yes</v>
      </c>
      <c r="H326" s="192"/>
      <c r="I326" s="52" t="str">
        <f>VLOOKUP($A326,Questions!$A$2:$X$333,23,0)&amp;""</f>
        <v>Critical Importance</v>
      </c>
      <c r="J326" s="192"/>
      <c r="K326" s="55" t="b">
        <v>0</v>
      </c>
      <c r="L326" s="1"/>
    </row>
    <row r="327" spans="1:12" s="36" customFormat="1" ht="102">
      <c r="A327" s="25" t="str">
        <f>AI!$A$36</f>
        <v>AISC-02</v>
      </c>
      <c r="B327" s="26" t="str">
        <f>VLOOKUP($A327,AI!$A$13:$E$55,2,0)&amp;""</f>
        <v>Is user input data used to influence your solution's AI model?*</v>
      </c>
      <c r="C327" s="52" t="str">
        <f>VLOOKUP($A327,AI!$A$13:$E$55,3,0)&amp;""</f>
        <v/>
      </c>
      <c r="D327" s="41" t="str">
        <f>IF(LEFT(VLOOKUP($A327,AI!$A$13:$E$55,5,0),21)='Auto Responses'!$A$73,'Auto Responses'!$A$74,VLOOKUP($A327,AI!$A$13:$E$55,4,0))&amp;""</f>
        <v/>
      </c>
      <c r="E327" s="350" t="str">
        <f>VLOOKUP($A327,AI!$A$13:$E$55,5,0)&amp;""</f>
        <v>Based on the response to REQU-04 on the "START HERE" tab, this question does not apply to this product or service.</v>
      </c>
      <c r="F327" s="202"/>
      <c r="G327" s="37" t="str">
        <f>VLOOKUP($A327,Questions!$A$2:$X$333,21,0)&amp;""</f>
        <v>No</v>
      </c>
      <c r="H327" s="192"/>
      <c r="I327" s="52" t="str">
        <f>VLOOKUP($A327,Questions!$A$2:$X$333,23,0)&amp;""</f>
        <v>Critical Importance</v>
      </c>
      <c r="J327" s="192"/>
      <c r="K327" s="55" t="b">
        <v>0</v>
      </c>
      <c r="L327" s="1"/>
    </row>
    <row r="328" spans="1:12" s="36" customFormat="1" ht="102">
      <c r="A328" s="25" t="str">
        <f>AI!$A$37</f>
        <v>AISC-03</v>
      </c>
      <c r="B328" s="26" t="str">
        <f>VLOOKUP($A328,AI!$A$13:$E$55,2,0)&amp;""</f>
        <v>Do you provide logging for your solution's AI feature(s) that includes user, date, and action taken?*</v>
      </c>
      <c r="C328" s="52" t="str">
        <f>VLOOKUP($A328,AI!$A$13:$E$55,3,0)&amp;""</f>
        <v/>
      </c>
      <c r="D328" s="41" t="str">
        <f>IF(LEFT(VLOOKUP($A328,AI!$A$13:$E$55,5,0),21)='Auto Responses'!$A$73,'Auto Responses'!$A$74,VLOOKUP($A328,AI!$A$13:$E$55,4,0))&amp;""</f>
        <v/>
      </c>
      <c r="E328" s="350" t="str">
        <f>VLOOKUP($A328,AI!$A$13:$E$55,5,0)&amp;""</f>
        <v>Based on the response to REQU-04 on the "START HERE" tab, this question does not apply to this product or service.</v>
      </c>
      <c r="F328" s="202"/>
      <c r="G328" s="37" t="str">
        <f>VLOOKUP($A328,Questions!$A$2:$X$333,21,0)&amp;""</f>
        <v>Yes</v>
      </c>
      <c r="H328" s="192"/>
      <c r="I328" s="52" t="str">
        <f>VLOOKUP($A328,Questions!$A$2:$X$333,23,0)&amp;""</f>
        <v>Critical Importance</v>
      </c>
      <c r="J328" s="192"/>
      <c r="K328" s="55" t="b">
        <v>0</v>
      </c>
      <c r="L328" s="1"/>
    </row>
    <row r="329" spans="1:12" s="36" customFormat="1" ht="102">
      <c r="A329" s="25" t="str">
        <f>AI!$A$38</f>
        <v>AISC-04</v>
      </c>
      <c r="B329" s="26" t="str">
        <f>VLOOKUP($A329,AI!$A$13:$E$55,2,0)&amp;""</f>
        <v>Please describe how you validate user inputs.</v>
      </c>
      <c r="C329" s="324" t="str">
        <f>VLOOKUP($A329,AI!$A$13:$E$55,3,0)&amp;""</f>
        <v/>
      </c>
      <c r="D329" s="323" t="str">
        <f>IF(LEFT(VLOOKUP($A329,AI!$A$13:$E$55,5,0),21)='Auto Responses'!$A$73,'Auto Responses'!$A$74,VLOOKUP($A329,AI!$A$13:$E$55,4,0))&amp;""</f>
        <v/>
      </c>
      <c r="E329" s="350" t="str">
        <f>VLOOKUP($A329,AI!$A$13:$E$55,5,0)&amp;""</f>
        <v>Based on the response to REQU-04 on the "START HERE" tab, this question does not apply to this product or service.</v>
      </c>
      <c r="F329" s="202"/>
      <c r="G329" s="37" t="str">
        <f>VLOOKUP($A329,Questions!$A$2:$X$333,21,0)&amp;""</f>
        <v>Not scored</v>
      </c>
      <c r="H329" s="192"/>
      <c r="I329" s="52" t="str">
        <f>VLOOKUP($A329,Questions!$A$2:$X$333,23,0)&amp;""</f>
        <v>Standard Importance</v>
      </c>
      <c r="J329" s="192"/>
      <c r="K329" s="55" t="b">
        <v>0</v>
      </c>
      <c r="L329" s="1"/>
    </row>
    <row r="330" spans="1:12" s="36" customFormat="1" ht="102">
      <c r="A330" s="25" t="str">
        <f>AI!$A$39</f>
        <v>AISC-05</v>
      </c>
      <c r="B330" s="26" t="str">
        <f>VLOOKUP($A330,AI!$A$13:$E$55,2,0)&amp;""</f>
        <v>Do you plan for and mitigate supply-chain risk related to your AI features?</v>
      </c>
      <c r="C330" s="52" t="str">
        <f>VLOOKUP($A330,AI!$A$13:$E$55,3,0)&amp;""</f>
        <v/>
      </c>
      <c r="D330" s="41" t="str">
        <f>IF(LEFT(VLOOKUP($A330,AI!$A$13:$E$55,5,0),21)='Auto Responses'!$A$73,'Auto Responses'!$A$74,VLOOKUP($A330,AI!$A$13:$E$55,4,0))&amp;""</f>
        <v/>
      </c>
      <c r="E330" s="350" t="str">
        <f>VLOOKUP($A330,AI!$A$13:$E$55,5,0)&amp;""</f>
        <v>Based on the response to REQU-04 on the "START HERE" tab, this question does not apply to this product or service.</v>
      </c>
      <c r="F330" s="202"/>
      <c r="G330" s="37" t="str">
        <f>VLOOKUP($A330,Questions!$A$2:$X$333,21,0)&amp;""</f>
        <v>Yes</v>
      </c>
      <c r="H330" s="192"/>
      <c r="I330" s="52" t="str">
        <f>VLOOKUP($A330,Questions!$A$2:$X$333,23,0)&amp;""</f>
        <v>Standard Importance</v>
      </c>
      <c r="J330" s="192"/>
      <c r="K330" s="55" t="b">
        <v>0</v>
      </c>
      <c r="L330" s="1"/>
    </row>
    <row r="331" spans="1:12" s="1" customFormat="1" ht="18">
      <c r="A331" s="70" t="str">
        <f>VLOOKUP(LEFT($A332,4),'Auto Responses'!$N$4:$O$38,2,0)&amp;""</f>
        <v xml:space="preserve"> AI Machine Learning</v>
      </c>
      <c r="B331" s="29"/>
      <c r="C331" s="38"/>
      <c r="D331" s="38"/>
      <c r="E331" s="351"/>
      <c r="F331" s="139" t="s">
        <v>1089</v>
      </c>
      <c r="G331" s="358" t="s">
        <v>925</v>
      </c>
      <c r="H331" s="358" t="s">
        <v>927</v>
      </c>
      <c r="I331" s="358" t="s">
        <v>19</v>
      </c>
      <c r="J331" s="358" t="s">
        <v>912</v>
      </c>
      <c r="K331" s="38"/>
    </row>
    <row r="332" spans="1:12" s="36" customFormat="1" ht="102">
      <c r="A332" s="25" t="str">
        <f>AI!$A$41</f>
        <v>AIML-01</v>
      </c>
      <c r="B332" s="26" t="str">
        <f>VLOOKUP($A332,AI!$A$13:$E$55,2,0)&amp;""</f>
        <v>Do you separate ML training data from your ML solution data?*</v>
      </c>
      <c r="C332" s="52" t="str">
        <f>VLOOKUP($A332,AI!$A$13:$E$55,3,0)&amp;""</f>
        <v/>
      </c>
      <c r="D332" s="41" t="str">
        <f>IF(LEFT(VLOOKUP($A332,AI!$A$13:$E$55,5,0),21)='Auto Responses'!$A$73,'Auto Responses'!$A$74,VLOOKUP($A332,AI!$A$13:$E$55,4,0))&amp;""</f>
        <v/>
      </c>
      <c r="E332" s="350" t="str">
        <f>VLOOKUP($A332,AI!$A$13:$E$55,5,0)&amp;""</f>
        <v>Based on the response to REQU-04 on the "START HERE" tab, this question does not apply to this product or service.</v>
      </c>
      <c r="F332" s="202"/>
      <c r="G332" s="37" t="str">
        <f>VLOOKUP($A332,Questions!$A$2:$X$333,21,0)&amp;""</f>
        <v>Yes</v>
      </c>
      <c r="H332" s="192"/>
      <c r="I332" s="52" t="str">
        <f>VLOOKUP($A332,Questions!$A$2:$X$333,23,0)&amp;""</f>
        <v>Critical Importance</v>
      </c>
      <c r="J332" s="192"/>
      <c r="K332" s="55" t="b">
        <v>0</v>
      </c>
      <c r="L332" s="1"/>
    </row>
    <row r="333" spans="1:12" s="36" customFormat="1" ht="102">
      <c r="A333" s="25" t="str">
        <f>AI!$A$42</f>
        <v>AIML-02</v>
      </c>
      <c r="B333" s="26" t="str">
        <f>VLOOKUP($A333,AI!$A$13:$E$55,2,0)&amp;""</f>
        <v>Do you authenticate and verify your ML model's feedback?*</v>
      </c>
      <c r="C333" s="52" t="str">
        <f>VLOOKUP($A333,AI!$A$13:$E$55,3,0)&amp;""</f>
        <v/>
      </c>
      <c r="D333" s="41" t="str">
        <f>IF(LEFT(VLOOKUP($A333,AI!$A$13:$E$55,5,0),21)='Auto Responses'!$A$73,'Auto Responses'!$A$74,VLOOKUP($A333,AI!$A$13:$E$55,4,0))&amp;""</f>
        <v/>
      </c>
      <c r="E333" s="350" t="str">
        <f>VLOOKUP($A333,AI!$A$13:$E$55,5,0)&amp;""</f>
        <v>Based on the response to REQU-04 on the "START HERE" tab, this question does not apply to this product or service.</v>
      </c>
      <c r="F333" s="202"/>
      <c r="G333" s="37" t="str">
        <f>VLOOKUP($A333,Questions!$A$2:$X$333,21,0)&amp;""</f>
        <v>Yes</v>
      </c>
      <c r="H333" s="192"/>
      <c r="I333" s="52" t="str">
        <f>VLOOKUP($A333,Questions!$A$2:$X$333,23,0)&amp;""</f>
        <v>Critical Importance</v>
      </c>
      <c r="J333" s="192"/>
      <c r="K333" s="55" t="b">
        <v>0</v>
      </c>
      <c r="L333" s="1"/>
    </row>
    <row r="334" spans="1:12" s="36" customFormat="1" ht="102">
      <c r="A334" s="25" t="str">
        <f>AI!$A$43</f>
        <v>AIML-03</v>
      </c>
      <c r="B334" s="26" t="str">
        <f>VLOOKUP($A334,AI!$A$13:$E$55,2,0)&amp;""</f>
        <v>Is your ML training data vetted, validated, and verified before training the solution's AI model?</v>
      </c>
      <c r="C334" s="52" t="str">
        <f>VLOOKUP($A334,AI!$A$13:$E$55,3,0)&amp;""</f>
        <v/>
      </c>
      <c r="D334" s="41" t="str">
        <f>IF(LEFT(VLOOKUP($A334,AI!$A$13:$E$55,5,0),21)='Auto Responses'!$A$73,'Auto Responses'!$A$74,VLOOKUP($A334,AI!$A$13:$E$55,4,0))&amp;""</f>
        <v/>
      </c>
      <c r="E334" s="350" t="str">
        <f>VLOOKUP($A334,AI!$A$13:$E$55,5,0)&amp;""</f>
        <v>Based on the response to REQU-04 on the "START HERE" tab, this question does not apply to this product or service.</v>
      </c>
      <c r="F334" s="202"/>
      <c r="G334" s="37" t="str">
        <f>VLOOKUP($A334,Questions!$A$2:$X$333,21,0)&amp;""</f>
        <v>Yes</v>
      </c>
      <c r="H334" s="192"/>
      <c r="I334" s="52" t="str">
        <f>VLOOKUP($A334,Questions!$A$2:$X$333,23,0)&amp;""</f>
        <v>Standard Importance</v>
      </c>
      <c r="J334" s="192"/>
      <c r="K334" s="55" t="b">
        <v>0</v>
      </c>
      <c r="L334" s="1"/>
    </row>
    <row r="335" spans="1:12" s="36" customFormat="1" ht="102">
      <c r="A335" s="25" t="str">
        <f>AI!$A$44</f>
        <v>AIML-04</v>
      </c>
      <c r="B335" s="26" t="str">
        <f>VLOOKUP($A335,AI!$A$13:$E$55,2,0)&amp;""</f>
        <v>Is your ML training data monitored and audited?</v>
      </c>
      <c r="C335" s="52" t="str">
        <f>VLOOKUP($A335,AI!$A$13:$E$55,3,0)&amp;""</f>
        <v/>
      </c>
      <c r="D335" s="41" t="str">
        <f>IF(LEFT(VLOOKUP($A335,AI!$A$13:$E$55,5,0),21)='Auto Responses'!$A$73,'Auto Responses'!$A$74,VLOOKUP($A335,AI!$A$13:$E$55,4,0))&amp;""</f>
        <v/>
      </c>
      <c r="E335" s="350" t="str">
        <f>VLOOKUP($A335,AI!$A$13:$E$55,5,0)&amp;""</f>
        <v>Based on the response to REQU-04 on the "START HERE" tab, this question does not apply to this product or service.</v>
      </c>
      <c r="F335" s="202"/>
      <c r="G335" s="37" t="str">
        <f>VLOOKUP($A335,Questions!$A$2:$X$333,21,0)&amp;""</f>
        <v>Yes</v>
      </c>
      <c r="H335" s="192"/>
      <c r="I335" s="52" t="str">
        <f>VLOOKUP($A335,Questions!$A$2:$X$333,23,0)&amp;""</f>
        <v>Standard Importance</v>
      </c>
      <c r="J335" s="192"/>
      <c r="K335" s="55" t="b">
        <v>0</v>
      </c>
      <c r="L335" s="1"/>
    </row>
    <row r="336" spans="1:12" s="36" customFormat="1" ht="102">
      <c r="A336" s="25" t="str">
        <f>AI!$A$45</f>
        <v>AIML-05</v>
      </c>
      <c r="B336" s="26" t="str">
        <f>VLOOKUP($A336,AI!$A$13:$E$55,2,0)&amp;""</f>
        <v>Have you limited access to your ML training data to only staff with an explicit business need?</v>
      </c>
      <c r="C336" s="52" t="str">
        <f>VLOOKUP($A336,AI!$A$13:$E$55,3,0)&amp;""</f>
        <v/>
      </c>
      <c r="D336" s="41" t="str">
        <f>IF(LEFT(VLOOKUP($A336,AI!$A$13:$E$55,5,0),21)='Auto Responses'!$A$73,'Auto Responses'!$A$74,VLOOKUP($A336,AI!$A$13:$E$55,4,0))&amp;""</f>
        <v/>
      </c>
      <c r="E336" s="350" t="str">
        <f>VLOOKUP($A336,AI!$A$13:$E$55,5,0)&amp;""</f>
        <v>Based on the response to REQU-04 on the "START HERE" tab, this question does not apply to this product or service.</v>
      </c>
      <c r="F336" s="202"/>
      <c r="G336" s="37" t="str">
        <f>VLOOKUP($A336,Questions!$A$2:$X$333,21,0)&amp;""</f>
        <v>Yes</v>
      </c>
      <c r="H336" s="192"/>
      <c r="I336" s="52" t="str">
        <f>VLOOKUP($A336,Questions!$A$2:$X$333,23,0)&amp;""</f>
        <v>Minor Importance</v>
      </c>
      <c r="J336" s="192"/>
      <c r="K336" s="55" t="b">
        <v>0</v>
      </c>
      <c r="L336" s="1"/>
    </row>
    <row r="337" spans="1:14" s="36" customFormat="1" ht="102">
      <c r="A337" s="25" t="str">
        <f>AI!$A$46</f>
        <v>AIML-06</v>
      </c>
      <c r="B337" s="26" t="str">
        <f>VLOOKUP($A337,AI!$A$13:$E$55,2,0)&amp;""</f>
        <v>Have you implemented adversarial training or other model defense mechanisms to protect your ML-related features?</v>
      </c>
      <c r="C337" s="52" t="str">
        <f>VLOOKUP($A337,AI!$A$13:$E$55,3,0)&amp;""</f>
        <v/>
      </c>
      <c r="D337" s="41" t="str">
        <f>IF(LEFT(VLOOKUP($A337,AI!$A$13:$E$55,5,0),21)='Auto Responses'!$A$73,'Auto Responses'!$A$74,VLOOKUP($A337,AI!$A$13:$E$55,4,0))&amp;""</f>
        <v/>
      </c>
      <c r="E337" s="350" t="str">
        <f>VLOOKUP($A337,AI!$A$13:$E$55,5,0)&amp;""</f>
        <v>Based on the response to REQU-04 on the "START HERE" tab, this question does not apply to this product or service.</v>
      </c>
      <c r="F337" s="202"/>
      <c r="G337" s="37" t="str">
        <f>VLOOKUP($A337,Questions!$A$2:$X$333,21,0)&amp;""</f>
        <v>Yes</v>
      </c>
      <c r="H337" s="192"/>
      <c r="I337" s="52" t="str">
        <f>VLOOKUP($A337,Questions!$A$2:$X$333,23,0)&amp;""</f>
        <v>Minor Importance</v>
      </c>
      <c r="J337" s="192"/>
      <c r="K337" s="55" t="b">
        <v>0</v>
      </c>
      <c r="L337" s="1"/>
    </row>
    <row r="338" spans="1:14" s="36" customFormat="1" ht="102">
      <c r="A338" s="25" t="str">
        <f>AI!$A$47</f>
        <v>AIML-07</v>
      </c>
      <c r="B338" s="26" t="str">
        <f>VLOOKUP($A338,AI!$A$13:$E$55,2,0)&amp;""</f>
        <v>Do you make your ML model transparent through documentation and log inputs and outputs?</v>
      </c>
      <c r="C338" s="52" t="str">
        <f>VLOOKUP($A338,AI!$A$13:$E$55,3,0)&amp;""</f>
        <v/>
      </c>
      <c r="D338" s="41" t="str">
        <f>IF(LEFT(VLOOKUP($A338,AI!$A$13:$E$55,5,0),21)='Auto Responses'!$A$73,'Auto Responses'!$A$74,VLOOKUP($A338,AI!$A$13:$E$55,4,0))&amp;""</f>
        <v/>
      </c>
      <c r="E338" s="350" t="str">
        <f>VLOOKUP($A338,AI!$A$13:$E$55,5,0)&amp;""</f>
        <v>Based on the response to REQU-04 on the "START HERE" tab, this question does not apply to this product or service.</v>
      </c>
      <c r="F338" s="202"/>
      <c r="G338" s="37" t="str">
        <f>VLOOKUP($A338,Questions!$A$2:$X$333,21,0)&amp;""</f>
        <v>Yes</v>
      </c>
      <c r="H338" s="192"/>
      <c r="I338" s="52" t="str">
        <f>VLOOKUP($A338,Questions!$A$2:$X$333,23,0)&amp;""</f>
        <v>Minor Importance</v>
      </c>
      <c r="J338" s="192"/>
      <c r="K338" s="55" t="b">
        <v>0</v>
      </c>
      <c r="L338" s="1"/>
    </row>
    <row r="339" spans="1:14" s="36" customFormat="1" ht="102">
      <c r="A339" s="25" t="str">
        <f>AI!$A$48</f>
        <v>AIML-08</v>
      </c>
      <c r="B339" s="26" t="str">
        <f>VLOOKUP($A339,AI!$A$13:$E$55,2,0)&amp;""</f>
        <v>Do you watermark your ML training data?</v>
      </c>
      <c r="C339" s="52" t="str">
        <f>VLOOKUP($A339,AI!$A$13:$E$55,3,0)&amp;""</f>
        <v/>
      </c>
      <c r="D339" s="41" t="str">
        <f>IF(LEFT(VLOOKUP($A339,AI!$A$13:$E$55,5,0),21)='Auto Responses'!$A$73,'Auto Responses'!$A$74,VLOOKUP($A339,AI!$A$13:$E$55,4,0))&amp;""</f>
        <v/>
      </c>
      <c r="E339" s="350" t="str">
        <f>VLOOKUP($A339,AI!$A$13:$E$55,5,0)&amp;""</f>
        <v>Based on the response to REQU-04 on the "START HERE" tab, this question does not apply to this product or service.</v>
      </c>
      <c r="F339" s="202"/>
      <c r="G339" s="37" t="str">
        <f>VLOOKUP($A339,Questions!$A$2:$X$333,21,0)&amp;""</f>
        <v>Yes</v>
      </c>
      <c r="H339" s="192"/>
      <c r="I339" s="52" t="str">
        <f>VLOOKUP($A339,Questions!$A$2:$X$333,23,0)&amp;""</f>
        <v>Minor Importance</v>
      </c>
      <c r="J339" s="192"/>
      <c r="K339" s="55" t="b">
        <v>0</v>
      </c>
      <c r="L339" s="1"/>
    </row>
    <row r="340" spans="1:14" s="1" customFormat="1" ht="18">
      <c r="A340" s="70" t="str">
        <f>VLOOKUP(LEFT($A341,4),'Auto Responses'!$N$4:$O$38,2,0)&amp;""</f>
        <v xml:space="preserve"> AI Large Language Model (LLM)</v>
      </c>
      <c r="B340" s="29"/>
      <c r="C340" s="138"/>
      <c r="D340" s="38"/>
      <c r="E340" s="354"/>
      <c r="F340" s="139" t="s">
        <v>1089</v>
      </c>
      <c r="G340" s="358" t="s">
        <v>925</v>
      </c>
      <c r="H340" s="358" t="s">
        <v>927</v>
      </c>
      <c r="I340" s="358" t="s">
        <v>19</v>
      </c>
      <c r="J340" s="358" t="s">
        <v>912</v>
      </c>
      <c r="K340" s="38"/>
    </row>
    <row r="341" spans="1:14" s="36" customFormat="1" ht="102">
      <c r="A341" s="25" t="str">
        <f>AI!$A$50</f>
        <v>AILM-01</v>
      </c>
      <c r="B341" s="26" t="str">
        <f>VLOOKUP($A341,AI!$A$13:$E$55,2,0)&amp;""</f>
        <v>Do you limit your solution's LLM privileges by default?*</v>
      </c>
      <c r="C341" s="52" t="str">
        <f>VLOOKUP($A341,AI!$A$13:$E$55,3,0)&amp;""</f>
        <v/>
      </c>
      <c r="D341" s="41" t="str">
        <f>IF(LEFT(VLOOKUP($A341,AI!$A$13:$E$55,5,0),21)='Auto Responses'!$A$73,'Auto Responses'!$A$74,VLOOKUP($A341,AI!$A$13:$E$55,4,0))&amp;""</f>
        <v/>
      </c>
      <c r="E341" s="350" t="str">
        <f>VLOOKUP($A341,AI!$A$13:$E$55,5,0)&amp;""</f>
        <v>Based on the response to REQU-04 on the "START HERE" tab, this question does not apply to this product or service.</v>
      </c>
      <c r="F341" s="202"/>
      <c r="G341" s="37" t="str">
        <f>VLOOKUP($A341,Questions!$A$2:$X$333,21,0)&amp;""</f>
        <v>Yes</v>
      </c>
      <c r="H341" s="192"/>
      <c r="I341" s="52" t="str">
        <f>VLOOKUP($A341,Questions!$A$2:$X$333,23,0)&amp;""</f>
        <v>Critical Importance</v>
      </c>
      <c r="J341" s="192"/>
      <c r="K341" s="55" t="b">
        <v>0</v>
      </c>
      <c r="L341" s="1"/>
    </row>
    <row r="342" spans="1:14" s="36" customFormat="1" ht="102">
      <c r="A342" s="25" t="str">
        <f>AI!$A$51</f>
        <v>AILM-02</v>
      </c>
      <c r="B342" s="26" t="str">
        <f>VLOOKUP($A342,AI!$A$13:$E$55,2,0)&amp;""</f>
        <v>Is your LLM training data vetted, validated, and verified before training the solution's AI model?*</v>
      </c>
      <c r="C342" s="52" t="str">
        <f>VLOOKUP($A342,AI!$A$13:$E$55,3,0)&amp;""</f>
        <v/>
      </c>
      <c r="D342" s="41" t="str">
        <f>IF(LEFT(VLOOKUP($A342,AI!$A$13:$E$55,5,0),21)='Auto Responses'!$A$73,'Auto Responses'!$A$74,VLOOKUP($A342,AI!$A$13:$E$55,4,0))&amp;""</f>
        <v/>
      </c>
      <c r="E342" s="350" t="str">
        <f>VLOOKUP($A342,AI!$A$13:$E$55,5,0)&amp;""</f>
        <v>Based on the response to REQU-04 on the "START HERE" tab, this question does not apply to this product or service.</v>
      </c>
      <c r="F342" s="202"/>
      <c r="G342" s="37" t="str">
        <f>VLOOKUP($A342,Questions!$A$2:$X$333,21,0)&amp;""</f>
        <v>Yes</v>
      </c>
      <c r="H342" s="192"/>
      <c r="I342" s="52" t="str">
        <f>VLOOKUP($A342,Questions!$A$2:$X$333,23,0)&amp;""</f>
        <v>Critical Importance</v>
      </c>
      <c r="J342" s="192"/>
      <c r="K342" s="55" t="b">
        <v>0</v>
      </c>
      <c r="L342" s="1"/>
    </row>
    <row r="343" spans="1:14" s="36" customFormat="1" ht="102">
      <c r="A343" s="25" t="str">
        <f>AI!$A$52</f>
        <v>AILM-03</v>
      </c>
      <c r="B343" s="26" t="str">
        <f>VLOOKUP($A343,AI!$A$13:$E$55,2,0)&amp;""</f>
        <v>Do any actions taken by your solution's LLM features or plugins require human intervention?*</v>
      </c>
      <c r="C343" s="52" t="str">
        <f>VLOOKUP($A343,AI!$A$13:$E$55,3,0)&amp;""</f>
        <v/>
      </c>
      <c r="D343" s="41" t="str">
        <f>IF(LEFT(VLOOKUP($A343,AI!$A$13:$E$55,5,0),21)='Auto Responses'!$A$73,'Auto Responses'!$A$74,VLOOKUP($A343,AI!$A$13:$E$55,4,0))&amp;""</f>
        <v/>
      </c>
      <c r="E343" s="350" t="str">
        <f>VLOOKUP($A343,AI!$A$13:$E$55,5,0)&amp;""</f>
        <v>Based on the response to REQU-04 on the "START HERE" tab, this question does not apply to this product or service.</v>
      </c>
      <c r="F343" s="202"/>
      <c r="G343" s="37" t="str">
        <f>VLOOKUP($A343,Questions!$A$2:$X$333,21,0)&amp;""</f>
        <v>Yes</v>
      </c>
      <c r="H343" s="192"/>
      <c r="I343" s="52" t="str">
        <f>VLOOKUP($A343,Questions!$A$2:$X$333,23,0)&amp;""</f>
        <v>Critical Importance</v>
      </c>
      <c r="J343" s="192"/>
      <c r="K343" s="55" t="b">
        <v>0</v>
      </c>
      <c r="L343" s="1"/>
    </row>
    <row r="344" spans="1:14" s="36" customFormat="1" ht="102">
      <c r="A344" s="25" t="str">
        <f>AI!$A$53</f>
        <v>AILM-04</v>
      </c>
      <c r="B344" s="26" t="str">
        <f>VLOOKUP($A344,AI!$A$13:$E$55,2,0)&amp;""</f>
        <v>Do you limit multiple LLM model plugins being called as part of a single input?*</v>
      </c>
      <c r="C344" s="52" t="str">
        <f>VLOOKUP($A344,AI!$A$13:$E$55,3,0)&amp;""</f>
        <v/>
      </c>
      <c r="D344" s="41" t="str">
        <f>IF(LEFT(VLOOKUP($A344,AI!$A$13:$E$55,5,0),21)='Auto Responses'!$A$73,'Auto Responses'!$A$74,VLOOKUP($A344,AI!$A$13:$E$55,4,0))&amp;""</f>
        <v/>
      </c>
      <c r="E344" s="350" t="str">
        <f>VLOOKUP($A344,AI!$A$13:$E$55,5,0)&amp;""</f>
        <v>Based on the response to REQU-04 on the "START HERE" tab, this question does not apply to this product or service.</v>
      </c>
      <c r="F344" s="202"/>
      <c r="G344" s="37" t="str">
        <f>VLOOKUP($A344,Questions!$A$2:$X$333,21,0)&amp;""</f>
        <v>Yes</v>
      </c>
      <c r="H344" s="192"/>
      <c r="I344" s="52" t="str">
        <f>VLOOKUP($A344,Questions!$A$2:$X$333,23,0)&amp;""</f>
        <v>Critical Importance</v>
      </c>
      <c r="J344" s="192"/>
      <c r="K344" s="55" t="b">
        <v>0</v>
      </c>
      <c r="L344" s="1"/>
    </row>
    <row r="345" spans="1:14" s="36" customFormat="1" ht="102">
      <c r="A345" s="25" t="str">
        <f>AI!$A$54</f>
        <v>AILM-05</v>
      </c>
      <c r="B345" s="26" t="str">
        <f>VLOOKUP($A345,AI!$A$13:$E$55,2,0)&amp;""</f>
        <v>Do you limit your solution's LLM resource use per request, per step, and per action?</v>
      </c>
      <c r="C345" s="52" t="str">
        <f>VLOOKUP($A345,AI!$A$13:$E$55,3,0)&amp;""</f>
        <v/>
      </c>
      <c r="D345" s="41" t="str">
        <f>IF(LEFT(VLOOKUP($A345,AI!$A$13:$E$55,5,0),21)='Auto Responses'!$A$73,'Auto Responses'!$A$74,VLOOKUP($A345,AI!$A$13:$E$55,4,0))&amp;""</f>
        <v/>
      </c>
      <c r="E345" s="350" t="str">
        <f>VLOOKUP($A345,AI!$A$13:$E$55,5,0)&amp;""</f>
        <v>Based on the response to REQU-04 on the "START HERE" tab, this question does not apply to this product or service.</v>
      </c>
      <c r="F345" s="202"/>
      <c r="G345" s="37" t="str">
        <f>VLOOKUP($A345,Questions!$A$2:$X$333,21,0)&amp;""</f>
        <v>Yes</v>
      </c>
      <c r="H345" s="192"/>
      <c r="I345" s="52" t="str">
        <f>VLOOKUP($A345,Questions!$A$2:$X$333,23,0)&amp;""</f>
        <v>Standard Importance</v>
      </c>
      <c r="J345" s="192"/>
      <c r="K345" s="55" t="b">
        <v>0</v>
      </c>
      <c r="L345" s="1"/>
    </row>
    <row r="346" spans="1:14" s="36" customFormat="1" ht="102">
      <c r="A346" s="25" t="str">
        <f>AI!$A$55</f>
        <v>AILM-06</v>
      </c>
      <c r="B346" s="26" t="str">
        <f>VLOOKUP($A346,AI!$A$13:$E$55,2,0)&amp;""</f>
        <v>Do you leverage LLM model tuning or other model validation mechanisms?</v>
      </c>
      <c r="C346" s="52" t="str">
        <f>VLOOKUP($A346,AI!$A$13:$E$55,3,0)&amp;""</f>
        <v/>
      </c>
      <c r="D346" s="41" t="str">
        <f>IF(LEFT(VLOOKUP($A346,AI!$A$13:$E$55,5,0),21)='Auto Responses'!$A$73,'Auto Responses'!$A$74,VLOOKUP($A346,AI!$A$13:$E$55,4,0))&amp;""</f>
        <v/>
      </c>
      <c r="E346" s="350" t="str">
        <f>VLOOKUP($A346,AI!$A$13:$E$55,5,0)&amp;""</f>
        <v>Based on the response to REQU-04 on the "START HERE" tab, this question does not apply to this product or service.</v>
      </c>
      <c r="F346" s="202"/>
      <c r="G346" s="37" t="str">
        <f>VLOOKUP($A346,Questions!$A$2:$X$333,21,0)&amp;""</f>
        <v>Yes</v>
      </c>
      <c r="H346" s="192"/>
      <c r="I346" s="52" t="str">
        <f>VLOOKUP($A346,Questions!$A$2:$X$333,23,0)&amp;""</f>
        <v>Standard Importance</v>
      </c>
      <c r="J346" s="192"/>
      <c r="K346" s="55" t="b">
        <v>0</v>
      </c>
      <c r="L346" s="1"/>
      <c r="N346" s="255" t="s">
        <v>1531</v>
      </c>
    </row>
    <row r="347" spans="1:14" ht="42" customHeight="1">
      <c r="A347" s="285" t="s">
        <v>1593</v>
      </c>
    </row>
    <row r="348" spans="1:14" ht="15" hidden="1" customHeight="1"/>
    <row r="349" spans="1:14" ht="15" hidden="1" customHeight="1"/>
    <row r="350" spans="1:14" ht="15" hidden="1" customHeight="1"/>
    <row r="351" spans="1:14" ht="15" hidden="1" customHeight="1"/>
    <row r="352" spans="1:14"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718" yWindow="394"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D20:I40 C20 C40 B2:B17 A3:A17 A44:E347 I56:I346 G56:G346" xr:uid="{42C50130-3A57-4C1D-932F-FE42EF919690}"/>
  </dataValidations>
  <hyperlinks>
    <hyperlink ref="G21" location="'Institution Evaluation'!A66" display="'Institution Evaluation'!A66" xr:uid="{9BB6B783-2D5B-429A-A38D-F31024220AC6}"/>
    <hyperlink ref="G22" location="'Institution Evaluation'!A81" display="'Institution Evaluation'!A81" xr:uid="{FC7CAC10-A125-4FB3-9395-FC67AC423378}"/>
    <hyperlink ref="G23" location="'Institution Evaluation'!A89" display="'Institution Evaluation'!A89" xr:uid="{2030E6E1-C501-4FEE-B141-45D6C29F1410}"/>
    <hyperlink ref="G24" location="'Institution Evaluation'!A95" display="'Institution Evaluation'!A95" xr:uid="{BE736F41-076A-4A55-BCE4-D5E744D90A3E}"/>
    <hyperlink ref="G37" location="'Institution Evaluation'!A228" display="'Institution Evaluation'!A228" xr:uid="{BC5B5905-A357-43BE-8C8F-C844727604F0}"/>
    <hyperlink ref="G38" location="'Institution Evaluation'!A311" display="'Institution Evaluation'!A311" xr:uid="{B8DD21E8-AFF2-458D-832C-276DC34D9341}"/>
    <hyperlink ref="G36" location="'Institution Evaluation'!A301" display="'Institution Evaluation'!A301" xr:uid="{037E2D5D-6696-48E8-A6E0-A0A1B53AF819}"/>
    <hyperlink ref="G35" location="'Institution Evaluation'!A288" display="'Institution Evaluation'!A288" xr:uid="{68E01ACB-B999-4EB5-B2C9-6016F0DE0BC7}"/>
    <hyperlink ref="G34" location="'Institution Evaluation'!A258" display="'Institution Evaluation'!A258" xr:uid="{18219329-4E5D-4C13-A2E5-215BAC1661E0}"/>
    <hyperlink ref="G33" location="'Institution Evaluation'!A247" display="'Institution Evaluation'!A247" xr:uid="{4A8900E2-CB47-4F9A-B96D-CC2E19DD5584}"/>
    <hyperlink ref="G32" location="'Institution Evaluation'!A221" display="'Institution Evaluation'!A221" xr:uid="{6F07FBFB-40EA-4F1C-813D-D8F708EFC7D7}"/>
    <hyperlink ref="G31" location="'Institution Evaluation'!A206" display="'Institution Evaluation'!A206" xr:uid="{E3A7CADC-F4A3-49AC-8E0A-BD9EE497E534}"/>
    <hyperlink ref="G30" location="'Institution Evaluation'!A204" display="'Institution Evaluation'!A204" xr:uid="{CD2F118A-35B5-4C28-8972-FE24734AD731}"/>
    <hyperlink ref="G29" location="'Institution Evaluation'!A186" display="'Institution Evaluation'!A186" xr:uid="{5D216CF7-8C6B-4834-936D-5763F8BC88D7}"/>
    <hyperlink ref="G28" location="'Institution Evaluation'!A171" display="'Institution Evaluation'!A171" xr:uid="{532B68D2-C1A5-47A4-B8EB-AA545547A11A}"/>
    <hyperlink ref="G27" location="'Institution Evaluation'!A147" display="'Institution Evaluation'!A147" xr:uid="{4C73246C-C560-424B-8A91-D3B84CD24D9D}"/>
    <hyperlink ref="G26" location="'Institution Evaluation'!A128" display="'Institution Evaluation'!A128" xr:uid="{F6A8C49A-E2C3-4E23-AE0C-6A45C6FBC71D}"/>
    <hyperlink ref="G25" location="'Institution Evaluation'!A112" display="'Institution Evaluation'!A112" xr:uid="{AA4C3BDA-4E45-4684-A828-7743EFF601A0}"/>
    <hyperlink ref="G39" location="'Privacy Analyst Evaluation'!A1" display="'Privacy Analyst Evaluation'!A1" xr:uid="{98511C3B-577E-4E85-AEF9-70B142A9EA93}"/>
    <hyperlink ref="F226" location="'Institution Evaluation'!A1" display="Back to Scorecard" xr:uid="{6FE45276-9603-4F4F-8578-735AF2BBFC49}"/>
    <hyperlink ref="F245" location="'Institution Evaluation'!A1" display="Back to Scorecard" xr:uid="{2E72BCD7-5D22-471B-9190-B4D53BA791CB}"/>
    <hyperlink ref="F256" location="'Institution Evaluation'!A1" display="Back to Scorecard" xr:uid="{1DF6CF9D-1B58-4E26-BDCF-036EBA6E0137}"/>
    <hyperlink ref="F286" location="'Institution Evaluation'!A1" display="Back to Scorecard" xr:uid="{625C8E31-7739-454D-B7F0-9328178B0745}"/>
    <hyperlink ref="F299" location="'Institution Evaluation'!A1" display="Back to Scorecard" xr:uid="{3FBC5863-16F9-4DF3-99D5-57A3F598FC3A}"/>
    <hyperlink ref="F310" location="'Institution Evaluation'!A1" display="Back to Scorecard" xr:uid="{1E843BFD-9352-466A-A37F-3F6DC0997DC8}"/>
    <hyperlink ref="F313" location="'Institution Evaluation'!A1" display="Back to Scorecard" xr:uid="{A50B3FAF-0DD0-47AE-A226-3EE8F4666964}"/>
    <hyperlink ref="F319" location="'Institution Evaluation'!A1" display="Back to Scorecard" xr:uid="{8578A02B-414A-4B89-9874-6E0F0CABA11C}"/>
    <hyperlink ref="F325" location="'Institution Evaluation'!A1" display="Back to Scorecard" xr:uid="{4EAF07E3-A446-49D6-9B81-301D7A6A2DFE}"/>
    <hyperlink ref="F331" location="'Institution Evaluation'!A1" display="Back to Scorecard" xr:uid="{C9BE1873-AF3B-4E05-82F3-E1ED6FD8F27D}"/>
    <hyperlink ref="F340" location="'Institution Evaluation'!A1" display="Back to Scorecard" xr:uid="{5672A663-5CCE-44F8-8363-A99CF2D6F791}"/>
    <hyperlink ref="F219" location="'Institution Evaluation'!A1" display="Back to Scorecard" xr:uid="{83828567-04BF-459E-8BE2-0044D0127369}"/>
    <hyperlink ref="F214" location="'Institution Evaluation'!A1" display="Back to Scorecard" xr:uid="{A1BEA664-9690-4B03-A04C-A117FCFB989B}"/>
    <hyperlink ref="F202" location="'Institution Evaluation'!A1" display="Back to Scorecard" xr:uid="{3836858E-46B1-4C36-8D02-D0F05A52A25D}"/>
    <hyperlink ref="F185" location="'Institution Evaluation'!A1" display="Back to Scorecard" xr:uid="{28F17DC6-289B-4707-8B7E-A7CB84C7B4E7}"/>
    <hyperlink ref="F170" location="'Institution Evaluation'!A1" display="Back to Scorecard" xr:uid="{A20522A8-B50C-4AB4-9230-9AAB73E30EE3}"/>
    <hyperlink ref="F146" location="'Institution Evaluation'!A1" display="Back to Scorecard" xr:uid="{1B0F8724-01FD-41CC-8969-8150BDFB0208}"/>
    <hyperlink ref="F127" location="'Institution Evaluation'!A1" display="Back to Scorecard" xr:uid="{971A4E34-19F9-45C1-9027-6E3D641F88EA}"/>
    <hyperlink ref="F111" location="'Institution Evaluation'!A1" display="Back to Scorecard" xr:uid="{D01D5539-6E7F-46C9-874E-F0ADC51C4D23}"/>
    <hyperlink ref="F94" location="'Institution Evaluation'!A1" display="Back to Scorecard" xr:uid="{D0E197AF-1A83-4B46-B53C-01D46E5B6996}"/>
    <hyperlink ref="F88" location="'Institution Evaluation'!A1" display="Back to Scorecard" xr:uid="{0E1BC0D2-F0CC-4575-A673-A3D3CD3DB862}"/>
    <hyperlink ref="F80" location="'Institution Evaluation'!A1" display="Back to Scorecard" xr:uid="{E02B3B42-5558-465B-BDCA-EDE683CAD9F3}"/>
    <hyperlink ref="F71" location="'Institution Evaluation'!A1" display="Back to Scorecard" xr:uid="{2A563F40-8112-422A-B701-8423B34C6A6C}"/>
    <hyperlink ref="F65" location="'Institution Evaluation'!A1" display="Back to Scorecard" xr:uid="{8F2468E9-F2C9-48B9-A074-8DA2F50452F2}"/>
    <hyperlink ref="F55" location="'Institution Evaluation'!A1" display="Back to Scorecard" xr:uid="{9B29E0DB-9237-4EDA-B6E6-FFE05032A5EC}"/>
    <hyperlink ref="A10" r:id="rId1" display="http://www.educause.edu/HECVAT" xr:uid="{CA4B97E8-4BB8-44D3-873F-D2FA5808C236}"/>
    <hyperlink ref="A52" r:id="rId2" display="http://www.educause.edu/HECVAT" xr:uid="{C50E9FB8-ECD0-41CB-A4B7-EF5F930865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718" yWindow="394" count="2">
        <x14:dataValidation type="list" allowBlank="1" showInputMessage="1" showErrorMessage="1" xr:uid="{87D58459-7D2A-4093-AA23-CB3B86A17A63}">
          <x14:formula1>
            <xm:f>'Auto Responses'!$J$11:$J$14</xm:f>
          </x14:formula1>
          <xm:sqref>J56:J64 J332:J339 J326:J330 J320:J324 J314:J318 J311:J312 J300:J309 J287:J298 J257:J285 J246:J255 J227:J244 J220:J225 J215:J218 J203:J213 J186:J201 J171:J184 J147:J169 J128:J145 J112:J126 J95:J110 J89:J93 J81:J87 J72:J79 J66:J70 J341:J346</xm:sqref>
        </x14:dataValidation>
        <x14:dataValidation type="list" allowBlank="1" showInputMessage="1" showErrorMessage="1" xr:uid="{11ECA3B0-CCF9-44AB-BABD-846BE063E009}">
          <x14:formula1>
            <xm:f>'Auto Responses'!$J$7:$J$8</xm:f>
          </x14:formula1>
          <xm:sqref>H332:H339 H326:H330 H320:H324 H314:H318 H311:H312 H300:H309 H287:H298 H257:H285 H246:H255 H227:H244 H220:H225 H215:H218 H203:H213 H186:H201 H171:H184 H147:H169 H128:H145 H112:H126 H95:H110 H89:H93 H81:H87 H72:H79 H66:H70 H56:H64 H341:H346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DF336D-6B97-407A-8300-C0C188644765}">
  <ds:schemaRefs>
    <ds:schemaRef ds:uri="http://purl.org/dc/dcmitype/"/>
    <ds:schemaRef ds:uri="http://www.w3.org/XML/1998/namespace"/>
    <ds:schemaRef ds:uri="59db3a20-cd76-483e-8241-5de0717f7c1b"/>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6ce987aa-ba57-409a-b474-072a10bf63c3"/>
    <ds:schemaRef ds:uri="http://purl.org/dc/terms/"/>
  </ds:schemaRefs>
</ds:datastoreItem>
</file>

<file path=customXml/itemProps2.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7CA352-70DF-4A8C-BE16-1BA25A2D4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Microsoft Office User</cp:lastModifiedBy>
  <cp:lastPrinted>2025-08-22T22:03:08Z</cp:lastPrinted>
  <dcterms:created xsi:type="dcterms:W3CDTF">2024-11-11T16:57:18Z</dcterms:created>
  <dcterms:modified xsi:type="dcterms:W3CDTF">2026-07-13T22:58:58Z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